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240" tabRatio="680" activeTab="0"/>
  </bookViews>
  <sheets>
    <sheet name="IPOTEZE" sheetId="1" r:id="rId1"/>
    <sheet name="Planramb" sheetId="2" r:id="rId2"/>
    <sheet name="Cont de Rezultat" sheetId="3" r:id="rId3"/>
    <sheet name="Costuri" sheetId="4" r:id="rId4"/>
    <sheet name="Bilant" sheetId="5" r:id="rId5"/>
    <sheet name="Flux de Numerar" sheetId="6" r:id="rId6"/>
    <sheet name="Rate" sheetId="7" r:id="rId7"/>
    <sheet name="Evaluarea Afacerii" sheetId="8" r:id="rId8"/>
    <sheet name="Grafice" sheetId="9" r:id="rId9"/>
  </sheets>
  <definedNames>
    <definedName name="AMORTIZAREA">'IPOTEZE'!$B$38</definedName>
    <definedName name="_xlnm.Print_Area" localSheetId="8">'Grafice'!$A:$IV</definedName>
  </definedNames>
  <calcPr fullCalcOnLoad="1"/>
</workbook>
</file>

<file path=xl/comments1.xml><?xml version="1.0" encoding="utf-8"?>
<comments xmlns="http://schemas.openxmlformats.org/spreadsheetml/2006/main">
  <authors>
    <author>cristi</author>
    <author/>
    <author>Client</author>
  </authors>
  <commentList>
    <comment ref="C88" authorId="0">
      <text>
        <r>
          <rPr>
            <sz val="10"/>
            <rFont val="Arial"/>
            <family val="2"/>
          </rPr>
          <t>Valoare nominala</t>
        </r>
      </text>
    </comment>
    <comment ref="D88" authorId="0">
      <text>
        <r>
          <rPr>
            <sz val="10"/>
            <rFont val="Arial"/>
            <family val="2"/>
          </rPr>
          <t>Crestere procentuala lunara</t>
        </r>
      </text>
    </comment>
    <comment ref="C89" authorId="0">
      <text>
        <r>
          <rPr>
            <sz val="10"/>
            <rFont val="Arial"/>
            <family val="2"/>
          </rPr>
          <t>Valoare nominala</t>
        </r>
      </text>
    </comment>
    <comment ref="D89" authorId="0">
      <text>
        <r>
          <rPr>
            <sz val="10"/>
            <rFont val="Arial"/>
            <family val="2"/>
          </rPr>
          <t>Crestere procentuala lunara</t>
        </r>
      </text>
    </comment>
    <comment ref="C90" authorId="0">
      <text>
        <r>
          <rPr>
            <sz val="10"/>
            <rFont val="Arial"/>
            <family val="2"/>
          </rPr>
          <t>Valoare nominala</t>
        </r>
      </text>
    </comment>
    <comment ref="D90" authorId="0">
      <text>
        <r>
          <rPr>
            <sz val="10"/>
            <rFont val="Arial"/>
            <family val="2"/>
          </rPr>
          <t>Crestere procentuala lunara</t>
        </r>
      </text>
    </comment>
    <comment ref="C99" authorId="0">
      <text>
        <r>
          <rPr>
            <sz val="10"/>
            <rFont val="Arial"/>
            <family val="2"/>
          </rPr>
          <t>Pondere din Cifra de afaceri</t>
        </r>
      </text>
    </comment>
    <comment ref="C100" authorId="0">
      <text>
        <r>
          <rPr>
            <sz val="10"/>
            <rFont val="Arial"/>
            <family val="2"/>
          </rPr>
          <t>Pondere din Cifra de afaceri</t>
        </r>
      </text>
    </comment>
    <comment ref="C92" authorId="0">
      <text>
        <r>
          <rPr>
            <sz val="10"/>
            <rFont val="Arial"/>
            <family val="2"/>
          </rPr>
          <t>Valoare nominala</t>
        </r>
      </text>
    </comment>
    <comment ref="D92" authorId="0">
      <text>
        <r>
          <rPr>
            <sz val="10"/>
            <rFont val="Arial"/>
            <family val="2"/>
          </rPr>
          <t>Crestere procentuala lunara</t>
        </r>
      </text>
    </comment>
    <comment ref="C93" authorId="0">
      <text>
        <r>
          <rPr>
            <sz val="10"/>
            <rFont val="Arial"/>
            <family val="2"/>
          </rPr>
          <t>Valoare nominala</t>
        </r>
      </text>
    </comment>
    <comment ref="D93" authorId="1">
      <text>
        <r>
          <rPr>
            <sz val="10"/>
            <rFont val="Arial"/>
            <family val="2"/>
          </rPr>
          <t>Crestere procentuala lunara</t>
        </r>
      </text>
    </comment>
    <comment ref="B95" authorId="1">
      <text>
        <r>
          <rPr>
            <sz val="10"/>
            <rFont val="Arial"/>
            <family val="2"/>
          </rPr>
          <t>Se vor introduce nominal</t>
        </r>
      </text>
    </comment>
    <comment ref="B96" authorId="1">
      <text>
        <r>
          <rPr>
            <sz val="10"/>
            <rFont val="Arial"/>
            <family val="2"/>
          </rPr>
          <t>Se vor introduce nominal</t>
        </r>
      </text>
    </comment>
    <comment ref="C109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0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1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2" authorId="0">
      <text>
        <r>
          <rPr>
            <sz val="10"/>
            <rFont val="Arial"/>
            <family val="2"/>
          </rPr>
          <t>Exprimare procentuala</t>
        </r>
      </text>
    </comment>
    <comment ref="C114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5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6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7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8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9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O147" authorId="1">
      <text>
        <r>
          <rPr>
            <sz val="10"/>
            <rFont val="Arial"/>
            <family val="2"/>
          </rPr>
          <t>TOTAL</t>
        </r>
      </text>
    </comment>
    <comment ref="C149" authorId="1">
      <text>
        <r>
          <rPr>
            <sz val="10"/>
            <rFont val="Arial"/>
            <family val="2"/>
          </rPr>
          <t>Aport sub forma de capital de lucru la capitalul social (se vor introduce valori nominale)</t>
        </r>
      </text>
    </comment>
    <comment ref="C150" authorId="1">
      <text>
        <r>
          <rPr>
            <sz val="10"/>
            <rFont val="Arial"/>
            <family val="2"/>
          </rPr>
          <t>Valoare preconizata stocuri la sfarsitul primei luni (se vor introduce valori nominale)</t>
        </r>
      </text>
    </comment>
    <comment ref="C151" authorId="1">
      <text>
        <r>
          <rPr>
            <sz val="10"/>
            <rFont val="Arial"/>
            <family val="2"/>
          </rPr>
          <t>Creante- clienti in prima luna (se vor introduce valori nominale)</t>
        </r>
      </text>
    </comment>
    <comment ref="C152" authorId="1">
      <text>
        <r>
          <rPr>
            <sz val="10"/>
            <rFont val="Arial"/>
            <family val="2"/>
          </rPr>
          <t>Valoare alte active curente in prima luna (se vor introduce valori nominale)</t>
        </r>
      </text>
    </comment>
    <comment ref="C153" authorId="1">
      <text>
        <r>
          <rPr>
            <sz val="10"/>
            <rFont val="Arial"/>
            <family val="2"/>
          </rPr>
          <t>Dispopnibil la inceputul perioadei (01.01.N; se vor introduce valori nominale)</t>
        </r>
      </text>
    </comment>
    <comment ref="O148" authorId="1">
      <text>
        <r>
          <rPr>
            <sz val="10"/>
            <rFont val="Arial"/>
            <family val="2"/>
          </rPr>
          <t>TOTAL</t>
        </r>
      </text>
    </comment>
    <comment ref="C155" authorId="1">
      <text>
        <r>
          <rPr>
            <sz val="10"/>
            <rFont val="Arial"/>
            <family val="2"/>
          </rPr>
          <t>Datorii -furnizori in prima luna (se vor introduce valori nominale)</t>
        </r>
      </text>
    </comment>
    <comment ref="C156" authorId="1">
      <text>
        <r>
          <rPr>
            <sz val="10"/>
            <rFont val="Arial"/>
            <family val="2"/>
          </rPr>
          <t>Alte pasive curente in prima luna (se vor introduce valori nominale)</t>
        </r>
      </text>
    </comment>
    <comment ref="C163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64" authorId="1">
      <text>
        <r>
          <rPr>
            <sz val="10"/>
            <rFont val="Arial"/>
            <family val="2"/>
          </rPr>
          <t>viteza de rotatie prin vanzari pe credit</t>
        </r>
      </text>
    </comment>
    <comment ref="C165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69" authorId="1">
      <text>
        <r>
          <rPr>
            <sz val="10"/>
            <rFont val="Arial"/>
            <family val="2"/>
          </rPr>
          <t>proportie din cumparari pe credit</t>
        </r>
      </text>
    </comment>
    <comment ref="C170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01" authorId="2">
      <text>
        <r>
          <rPr>
            <sz val="10"/>
            <rFont val="Tahoma"/>
            <family val="2"/>
          </rPr>
          <t xml:space="preserve">Pondere din Cifra de afaceri
</t>
        </r>
      </text>
    </comment>
    <comment ref="C102" authorId="2">
      <text>
        <r>
          <rPr>
            <sz val="10"/>
            <rFont val="Tahoma"/>
            <family val="2"/>
          </rPr>
          <t>Pondere din Cifra de afaceri</t>
        </r>
        <r>
          <rPr>
            <b/>
            <sz val="7"/>
            <rFont val="Tahoma"/>
            <family val="2"/>
          </rPr>
          <t xml:space="preserve">
</t>
        </r>
      </text>
    </comment>
    <comment ref="C103" authorId="2">
      <text>
        <r>
          <rPr>
            <sz val="10"/>
            <rFont val="Tahoma"/>
            <family val="2"/>
          </rPr>
          <t>Se vor introduce nominal</t>
        </r>
      </text>
    </comment>
    <comment ref="C104" authorId="2">
      <text>
        <r>
          <rPr>
            <sz val="10"/>
            <rFont val="Tahoma"/>
            <family val="2"/>
          </rPr>
          <t>Se vor introduce nominal</t>
        </r>
      </text>
    </comment>
    <comment ref="C105" authorId="2">
      <text>
        <r>
          <rPr>
            <sz val="10"/>
            <rFont val="Tahoma"/>
            <family val="2"/>
          </rPr>
          <t>Se vor introduce nominal</t>
        </r>
      </text>
    </comment>
    <comment ref="C120" authorId="2">
      <text>
        <r>
          <rPr>
            <sz val="10"/>
            <rFont val="Arial"/>
            <family val="2"/>
          </rPr>
          <t>Se vor introduce valori nominale</t>
        </r>
        <r>
          <rPr>
            <b/>
            <sz val="7"/>
            <rFont val="Tahoma"/>
            <family val="2"/>
          </rPr>
          <t xml:space="preserve">
</t>
        </r>
      </text>
    </comment>
    <comment ref="C121" authorId="2">
      <text>
        <r>
          <rPr>
            <sz val="10"/>
            <rFont val="Arial"/>
            <family val="2"/>
          </rPr>
          <t xml:space="preserve">Se vor introduce valori nominale
</t>
        </r>
      </text>
    </comment>
    <comment ref="C91" authorId="2">
      <text>
        <r>
          <rPr>
            <sz val="10"/>
            <rFont val="Arial"/>
            <family val="2"/>
          </rPr>
          <t>Exprimare procentuala</t>
        </r>
        <r>
          <rPr>
            <sz val="8"/>
            <rFont val="Tahoma"/>
            <family val="2"/>
          </rPr>
          <t xml:space="preserve">
</t>
        </r>
      </text>
    </comment>
    <comment ref="B94" authorId="1">
      <text>
        <r>
          <rPr>
            <sz val="10"/>
            <rFont val="Arial"/>
            <family val="2"/>
          </rPr>
          <t>Se vor introduce nominal</t>
        </r>
      </text>
    </comment>
  </commentList>
</comments>
</file>

<file path=xl/sharedStrings.xml><?xml version="1.0" encoding="utf-8"?>
<sst xmlns="http://schemas.openxmlformats.org/spreadsheetml/2006/main" count="630" uniqueCount="374">
  <si>
    <t>Anul</t>
  </si>
  <si>
    <t>Luna</t>
  </si>
  <si>
    <t>Anuitate</t>
  </si>
  <si>
    <t>Dobanda</t>
  </si>
  <si>
    <t>Rambursare</t>
  </si>
  <si>
    <t>Sold credit</t>
  </si>
  <si>
    <t>INTRARI</t>
  </si>
  <si>
    <t>N</t>
  </si>
  <si>
    <t>N+1</t>
  </si>
  <si>
    <t>N</t>
  </si>
  <si>
    <t>TOTAL</t>
  </si>
  <si>
    <t>N+1</t>
  </si>
  <si>
    <t>N+2</t>
  </si>
  <si>
    <t>N+3</t>
  </si>
  <si>
    <t>N+2</t>
  </si>
  <si>
    <t>N+4</t>
  </si>
  <si>
    <t>N+3</t>
  </si>
  <si>
    <t>N+4</t>
  </si>
  <si>
    <t>Rambursare</t>
  </si>
  <si>
    <t>Dobanda</t>
  </si>
  <si>
    <t>Anuitate</t>
  </si>
  <si>
    <t xml:space="preserve">Venituri din vanzari de marfuri </t>
  </si>
  <si>
    <t xml:space="preserve">Venituri din vanzarea produselor şi serviciilor </t>
  </si>
  <si>
    <t xml:space="preserve">Alte venituri din exploatare </t>
  </si>
  <si>
    <t>Adaos comercial practicat(%)</t>
  </si>
  <si>
    <t xml:space="preserve">Fond de salarii direct productive </t>
  </si>
  <si>
    <t>N+1</t>
  </si>
  <si>
    <t>N+2</t>
  </si>
  <si>
    <t>N+3</t>
  </si>
  <si>
    <t>N+4</t>
  </si>
  <si>
    <t xml:space="preserve">Vanzari de marfuri </t>
  </si>
  <si>
    <t xml:space="preserve">Alte venituri din exploatare </t>
  </si>
  <si>
    <t>FOND DE SALARII</t>
  </si>
  <si>
    <t>EXPLICATII</t>
  </si>
  <si>
    <t>vanzari pe credit</t>
  </si>
  <si>
    <t xml:space="preserve">cumparari pe credit </t>
  </si>
  <si>
    <t>N+1</t>
  </si>
  <si>
    <t>N+2</t>
  </si>
  <si>
    <t>N+3</t>
  </si>
  <si>
    <t>N+4</t>
  </si>
  <si>
    <t>vanzari pe credit</t>
  </si>
  <si>
    <t>stocuri</t>
  </si>
  <si>
    <t>clienti</t>
  </si>
  <si>
    <t>alte active curente</t>
  </si>
  <si>
    <t xml:space="preserve">cumparari pe credit </t>
  </si>
  <si>
    <t>furnizori si conturi asimilate</t>
  </si>
  <si>
    <t>alte pasive curente</t>
  </si>
  <si>
    <t>Valoarea reziduala</t>
  </si>
  <si>
    <t>EXPLICATII                    LUNA</t>
  </si>
  <si>
    <t>TOTAL</t>
  </si>
  <si>
    <t>1.</t>
  </si>
  <si>
    <t xml:space="preserve">Vanzari de marfuri </t>
  </si>
  <si>
    <t>2.</t>
  </si>
  <si>
    <t xml:space="preserve">Venituri din vânzarea produse sau servicii </t>
  </si>
  <si>
    <t>3.</t>
  </si>
  <si>
    <t>Cifra de afaceri (1+2)</t>
  </si>
  <si>
    <t xml:space="preserve">Alte venituri din exploatare </t>
  </si>
  <si>
    <t>Total venituri din exploatare (3+4)</t>
  </si>
  <si>
    <t xml:space="preserve">Costul marfurilor vandute </t>
  </si>
  <si>
    <t xml:space="preserve">Cheltuieli cu materiile prime, materiale, energie, combustibil </t>
  </si>
  <si>
    <t xml:space="preserve">Lucrari si servicii executate de terti </t>
  </si>
  <si>
    <t>Impozite si varsaminte asimilate</t>
  </si>
  <si>
    <t>Cheltuieli cu remuneratiile personalului</t>
  </si>
  <si>
    <t>Cheltuielile societatii cu contributiile sociale</t>
  </si>
  <si>
    <t>Total cheltuieli cu personalul (10+11)</t>
  </si>
  <si>
    <t xml:space="preserve">Cheltuieli cu amortizari si provizioane din exploatare </t>
  </si>
  <si>
    <t>Total cheltuieli din exploatare (6+7+8+9+12+13)</t>
  </si>
  <si>
    <t>Rezultat din exploatare (5-14)</t>
  </si>
  <si>
    <t>Venituri financiare</t>
  </si>
  <si>
    <t>Cheltuieli financiare</t>
  </si>
  <si>
    <t>Rezultat financiar (16-17)</t>
  </si>
  <si>
    <t>Rezultat curent al exercitiului (15+18)</t>
  </si>
  <si>
    <t xml:space="preserve">Impozit pe profit </t>
  </si>
  <si>
    <t>repartizari dividende</t>
  </si>
  <si>
    <t>Rezultat cumulat</t>
  </si>
  <si>
    <t>Impozit pe profit cumulat</t>
  </si>
  <si>
    <t>impozit pe profit curent</t>
  </si>
  <si>
    <t>N</t>
  </si>
  <si>
    <t>I. Costuri de productie (Directe)</t>
  </si>
  <si>
    <t>II. Costuri indirecte variabile</t>
  </si>
  <si>
    <t>III. Costuri indirecte fixe</t>
  </si>
  <si>
    <t>TOTAL CHELTUIELI DE EXPLOATARE(I+II+III)</t>
  </si>
  <si>
    <t>EXPLICATII</t>
  </si>
  <si>
    <t>N+1</t>
  </si>
  <si>
    <t>N+2</t>
  </si>
  <si>
    <t>N+3</t>
  </si>
  <si>
    <t>N+4</t>
  </si>
  <si>
    <t>repartizari</t>
  </si>
  <si>
    <t>profit nerepartizat</t>
  </si>
  <si>
    <t>Rezultat cumulat</t>
  </si>
  <si>
    <t>Impozit pe profit cumulat</t>
  </si>
  <si>
    <t>impozit pe profit curent</t>
  </si>
  <si>
    <t>N</t>
  </si>
  <si>
    <t>N+1</t>
  </si>
  <si>
    <t>N+2</t>
  </si>
  <si>
    <t>N+3</t>
  </si>
  <si>
    <t>N+4</t>
  </si>
  <si>
    <t>Verificare</t>
  </si>
  <si>
    <t>EXPLICATII</t>
  </si>
  <si>
    <t>TOTAL</t>
  </si>
  <si>
    <t>ACTIVE</t>
  </si>
  <si>
    <t>Active fixe</t>
  </si>
  <si>
    <t>Active curente</t>
  </si>
  <si>
    <t>TOTAL ACTIVE CURENTE</t>
  </si>
  <si>
    <t>TOTAL ACTIVE</t>
  </si>
  <si>
    <t>PASIVE</t>
  </si>
  <si>
    <t>Capital</t>
  </si>
  <si>
    <t>TOTAL CAPITAL</t>
  </si>
  <si>
    <t>Datorii pe termen mediu si lung</t>
  </si>
  <si>
    <t>TOTAL DATORII PE TERMEN MEDIU SI LUNG</t>
  </si>
  <si>
    <t>Pasive curente</t>
  </si>
  <si>
    <t>TOTAL PASIVE CURENTE</t>
  </si>
  <si>
    <t xml:space="preserve">TOTAL PASIVE </t>
  </si>
  <si>
    <t xml:space="preserve">                            Anul                                                                                                                                                                               Pozitia</t>
  </si>
  <si>
    <t>N</t>
  </si>
  <si>
    <t>N+1</t>
  </si>
  <si>
    <t>N+2</t>
  </si>
  <si>
    <t>N+3</t>
  </si>
  <si>
    <t>N+4</t>
  </si>
  <si>
    <t>EXPLICATII</t>
  </si>
  <si>
    <t>TOTAL</t>
  </si>
  <si>
    <t>1) Fluxul de numerar din exploatare</t>
  </si>
  <si>
    <t>Profitul/pierderea activităţii de exploatare</t>
  </si>
  <si>
    <t>+ Cheltuiala cu amortizarea şi provizioanele în exerciţiul curent</t>
  </si>
  <si>
    <t>-  Impozitul pe profit platit</t>
  </si>
  <si>
    <t>± Variaţia Necesarului de fond de rulment (ΔNFR)</t>
  </si>
  <si>
    <t>2) Fluxul de numerar din activitatea de investiţii</t>
  </si>
  <si>
    <t>-  Achiziţiile de imobilizări</t>
  </si>
  <si>
    <t>3) Fluxul de numerar din activitatea financiară</t>
  </si>
  <si>
    <t>+ Creşterea creditelor pe termen lung şi scurt</t>
  </si>
  <si>
    <t>- Rambursarea creditelor pe termen lung şi scurt</t>
  </si>
  <si>
    <t>+ Creşterea capitalului social</t>
  </si>
  <si>
    <t>- Plăţi pentru dividende</t>
  </si>
  <si>
    <t>+ Venituri financiare încasate</t>
  </si>
  <si>
    <t xml:space="preserve">- Cheltuieli financiare plătite </t>
  </si>
  <si>
    <t>Cash flow net</t>
  </si>
  <si>
    <t>Lichidităţi la inceputul perioadei</t>
  </si>
  <si>
    <t>Lichidităţi la sfârşitul perioadei</t>
  </si>
  <si>
    <t>SPECIFICAŢIE</t>
  </si>
  <si>
    <t>TOTAL</t>
  </si>
  <si>
    <t>Active circulante</t>
  </si>
  <si>
    <t>Datorii comerciale</t>
  </si>
  <si>
    <t>Necesar de Fond de rulment</t>
  </si>
  <si>
    <t>Variatie NFR</t>
  </si>
  <si>
    <t>regularizare impozit profit platit</t>
  </si>
  <si>
    <t xml:space="preserve">impozit profit anterior ramas de plata </t>
  </si>
  <si>
    <t>EXPLICATII</t>
  </si>
  <si>
    <t>N+1</t>
  </si>
  <si>
    <t>N+2</t>
  </si>
  <si>
    <t>N+3</t>
  </si>
  <si>
    <t>N+4</t>
  </si>
  <si>
    <t>Profitul/pierderea activităţii de exploatare</t>
  </si>
  <si>
    <t>+ Cheltuiala cu amortizarea şi provizioanele în exerciţiul curent</t>
  </si>
  <si>
    <t>-  Impozitul pe profit platit</t>
  </si>
  <si>
    <t>± Variaţia Necesarului de fond de rulment (ΔNFR)</t>
  </si>
  <si>
    <t>2) Fluxul de numerar din activitatea de investiţii</t>
  </si>
  <si>
    <t>-  Achiziţiile de imobilizări</t>
  </si>
  <si>
    <t>3) Fluxul de numerar din activitatea financiară</t>
  </si>
  <si>
    <t>+ Creşterea creditelor pe termen lung şi scurt</t>
  </si>
  <si>
    <t>- Rambursarea creditelor pe termen lung şi scurt</t>
  </si>
  <si>
    <t>+ Creşterea capitalului social</t>
  </si>
  <si>
    <t>- Retragerea capitalului social</t>
  </si>
  <si>
    <t>- Plăţi pentru dividende</t>
  </si>
  <si>
    <t>+ Venituri financiare încasate</t>
  </si>
  <si>
    <t xml:space="preserve">- Cheltuieli financiare plătite </t>
  </si>
  <si>
    <t>Cash flow net</t>
  </si>
  <si>
    <t>Lichidităţi la inceputul perioadei</t>
  </si>
  <si>
    <t>Lichidităţi la sfârşitul perioadei</t>
  </si>
  <si>
    <t>AN DE BAZA</t>
  </si>
  <si>
    <t>INDICATORI DE LICHIDITATE</t>
  </si>
  <si>
    <t>LICHIDITATE GLOBALA</t>
  </si>
  <si>
    <t>Explicaţii</t>
  </si>
  <si>
    <t>Obligatii (datorii pe termen scurt)</t>
  </si>
  <si>
    <t>Lichiditate globala (Lg)</t>
  </si>
  <si>
    <t>LICHIDITATEA IMEDIATA</t>
  </si>
  <si>
    <t>Disponibilitati</t>
  </si>
  <si>
    <t>Lichiditatea imediata</t>
  </si>
  <si>
    <t>INDATORAREA</t>
  </si>
  <si>
    <t>RATA DATORIILOR</t>
  </si>
  <si>
    <t>Total datorii</t>
  </si>
  <si>
    <t>Total active</t>
  </si>
  <si>
    <t>Rata datoriilor</t>
  </si>
  <si>
    <t>RATA DE SOLVABILITATE</t>
  </si>
  <si>
    <t>Imprumut pe termen lung</t>
  </si>
  <si>
    <t>Capital propriu</t>
  </si>
  <si>
    <t>Rata de solvabilitate</t>
  </si>
  <si>
    <t>RATA DE ACOPERIRE A CAPITALULUI PROPRIU</t>
  </si>
  <si>
    <t>RATA DE ACOPERIRE A SERVICIULUI DATORIILOR</t>
  </si>
  <si>
    <t>Profit din activitate dupa impozitare</t>
  </si>
  <si>
    <t>Dobanzi</t>
  </si>
  <si>
    <t>Rata de rambursare a imprumuturilor pe temen lung</t>
  </si>
  <si>
    <t>Rata de acoperire a datoriilor</t>
  </si>
  <si>
    <t>INDICATORI DE GESTIUNE</t>
  </si>
  <si>
    <t>VITEZA DE ROTATIE A ACTIVELOR CIRCULANTE PRIN CIFRA DE AFACERI (RAC)</t>
  </si>
  <si>
    <t>Cifra de afaceri</t>
  </si>
  <si>
    <t>Numar de zile</t>
  </si>
  <si>
    <t>RAC</t>
  </si>
  <si>
    <t>VITEZA DE ROTATIE A STOCURILOR</t>
  </si>
  <si>
    <t>Valoarea stocurilor</t>
  </si>
  <si>
    <t>Viteza de rotatie a stocurilor</t>
  </si>
  <si>
    <t>VITEZA DE ROTATIE A CREANTELOR</t>
  </si>
  <si>
    <t>Valoarea creantelor</t>
  </si>
  <si>
    <t>Vanzari pe credit</t>
  </si>
  <si>
    <t>Viteza de rotatie a creantelor</t>
  </si>
  <si>
    <t>VITEZA DE ROTATIE A FURNIZORILOR PRIN CIFRA DE AFACERI</t>
  </si>
  <si>
    <t>Valoarea furnizorilor</t>
  </si>
  <si>
    <t>Cumparari pe credit</t>
  </si>
  <si>
    <t>Viteza de rotatie a furnizorilor</t>
  </si>
  <si>
    <t>INDICATORI DE RENTABILITATE</t>
  </si>
  <si>
    <t>MARJA PROFITULUI DE EXPLOATARE</t>
  </si>
  <si>
    <t>Profit din exploatare</t>
  </si>
  <si>
    <t>Marja profitului de exploatare</t>
  </si>
  <si>
    <t>MARJA PROFITULUI NET</t>
  </si>
  <si>
    <t>Profit net</t>
  </si>
  <si>
    <t>Marja profitului net</t>
  </si>
  <si>
    <t>RENTABILITATEA CAPITALULUI PROPRIU (ROI)</t>
  </si>
  <si>
    <t>ROI</t>
  </si>
  <si>
    <t>RENTABILITATEA ACTIVELOR TOTALE</t>
  </si>
  <si>
    <t>Profit inainte de impozitare si plata dobanzilor</t>
  </si>
  <si>
    <t>Rentabilitatea activelor totale</t>
  </si>
  <si>
    <t>DENUMIRE</t>
  </si>
  <si>
    <t>N</t>
  </si>
  <si>
    <t>N+1</t>
  </si>
  <si>
    <t>N+2</t>
  </si>
  <si>
    <t>N+3</t>
  </si>
  <si>
    <t>N+4</t>
  </si>
  <si>
    <t>LICHIDITATE GLOBALA</t>
  </si>
  <si>
    <t>LICHIDITATEA IMEDIATA</t>
  </si>
  <si>
    <t>RATA DATORIILOR</t>
  </si>
  <si>
    <t>RATA DE SOLVABILITATE</t>
  </si>
  <si>
    <t>RATA DE ACOPERIRE A SERVICIULUI DATORIILOR</t>
  </si>
  <si>
    <t>INDICATORI DE GESTIUNE</t>
  </si>
  <si>
    <t>INDICATORI DE RENTABILITATE</t>
  </si>
  <si>
    <t>VAN</t>
  </si>
  <si>
    <t>Cost total de investitie</t>
  </si>
  <si>
    <t>Iesiri din exploatare</t>
  </si>
  <si>
    <t>Intrari din exploatare</t>
  </si>
  <si>
    <t>Cash-flow net</t>
  </si>
  <si>
    <t>Rata de actualizare</t>
  </si>
  <si>
    <t xml:space="preserve">Valoare actualizata neta  </t>
  </si>
  <si>
    <t>N+5</t>
  </si>
  <si>
    <t>N+6</t>
  </si>
  <si>
    <t>N+7</t>
  </si>
  <si>
    <t>N+8</t>
  </si>
  <si>
    <t>N+9</t>
  </si>
  <si>
    <t>Valoare reziduala</t>
  </si>
  <si>
    <t>RIR</t>
  </si>
  <si>
    <t xml:space="preserve">venit net actualizat </t>
  </si>
  <si>
    <t>TR</t>
  </si>
  <si>
    <t>CF anual</t>
  </si>
  <si>
    <t>CF actualizat</t>
  </si>
  <si>
    <t>CF mediu</t>
  </si>
  <si>
    <t>Termen de recuperare</t>
  </si>
  <si>
    <t>Contul de Rezultat Lunar Pentru anul N</t>
  </si>
  <si>
    <t>Costuri de Exploatare Anuale pentru perioada N - N+4</t>
  </si>
  <si>
    <t>Situaţia Patrimonială Lunară pentru Anul N</t>
  </si>
  <si>
    <t>Bilanţ Previzionat pentru perioada N - N+4</t>
  </si>
  <si>
    <t>Sinteza Indicatorilor de Analiza a Afacerii pe Perioada Previzionată</t>
  </si>
  <si>
    <t>Valoarea actualizată netă</t>
  </si>
  <si>
    <t>Rata internă de rentabilitate</t>
  </si>
  <si>
    <t>valori nominale</t>
  </si>
  <si>
    <t>Contul de Rezultat Anual  pentru Perioada N - N+4</t>
  </si>
  <si>
    <t>Venituri totale (5+16)</t>
  </si>
  <si>
    <t>Cheltuieli totale (14+17)</t>
  </si>
  <si>
    <t>Rezultatul brut (15+18)</t>
  </si>
  <si>
    <t>Rezultat net (22-23)</t>
  </si>
  <si>
    <t>Costul marfurilor vandute</t>
  </si>
  <si>
    <t xml:space="preserve">Materii prime, materiale  consumabile, obiecte de inventar </t>
  </si>
  <si>
    <t>Energie electrica si termica</t>
  </si>
  <si>
    <t xml:space="preserve">Salarii direct productive </t>
  </si>
  <si>
    <t>Asigurari sociale</t>
  </si>
  <si>
    <t>Servicii de  reparatii si intretinere</t>
  </si>
  <si>
    <t>Alte servicii executate de terti</t>
  </si>
  <si>
    <t>Reclama si publicitate</t>
  </si>
  <si>
    <t>Amortizare indirect productiva</t>
  </si>
  <si>
    <t>Costuri salariale personal indirect  productiv</t>
  </si>
  <si>
    <t>Taxe postale si de telecomunicatii</t>
  </si>
  <si>
    <t>Servicii bancare</t>
  </si>
  <si>
    <t xml:space="preserve">Taxe si impozite indirecte </t>
  </si>
  <si>
    <t>DETALIERE</t>
  </si>
  <si>
    <t>Cash flow net înainte de plata dividendelor</t>
  </si>
  <si>
    <t>Serviciul datoriei</t>
  </si>
  <si>
    <t>Ipoteze de Previziune a Bilanţului</t>
  </si>
  <si>
    <t>Ipoteze de previzionare a Programului de Rambursare a Creditului</t>
  </si>
  <si>
    <t>Ipoteze de Calcul a Indicatorilor de Evaluare a Afacerii</t>
  </si>
  <si>
    <t>Ipoteze de Calcul a Amortizării Previzionate a Mijloacelor Fixe</t>
  </si>
  <si>
    <t>Termenul de Recuperare al Investiţiei(ani)</t>
  </si>
  <si>
    <t xml:space="preserve">     Plan de Rambursare Detaliat</t>
  </si>
  <si>
    <t>Total</t>
  </si>
  <si>
    <t xml:space="preserve">   SINTEZA PLAN RAMBURSARE</t>
  </si>
  <si>
    <t xml:space="preserve">  Costuri de Exploatare Lunare pentru Anul N</t>
  </si>
  <si>
    <t xml:space="preserve">       Flux de Numerar Lunar pentru Anul N</t>
  </si>
  <si>
    <t xml:space="preserve">         Flux de Numerar Anual pentru Perioada N - N+4</t>
  </si>
  <si>
    <t>Valoarea  creditului</t>
  </si>
  <si>
    <t>Rata dobânzii</t>
  </si>
  <si>
    <t xml:space="preserve">Mijloace fixe aduse ca aport la capital  </t>
  </si>
  <si>
    <t>Intrări mijl.fixe</t>
  </si>
  <si>
    <t>Amortizare totala</t>
  </si>
  <si>
    <t>Amortizare cumulată</t>
  </si>
  <si>
    <t>ANUL N</t>
  </si>
  <si>
    <t>Durata creditului (ani)</t>
  </si>
  <si>
    <t>Alte cheltuieli financiare în afara dobanzilor la credit</t>
  </si>
  <si>
    <t>Cota de  impozit pe profit</t>
  </si>
  <si>
    <t>Coeficient de repartizare  dividende</t>
  </si>
  <si>
    <t>Materi prime, materiale consumabile, obiecte de inventar (%CA)</t>
  </si>
  <si>
    <t>Energie electrica (%CA)</t>
  </si>
  <si>
    <t>Costul serviciilor de  reparatii si intretinere(%CA)</t>
  </si>
  <si>
    <t>Costul altor servicii executate de terti(%CA)</t>
  </si>
  <si>
    <t>Costul lunar al serviciilor bancare</t>
  </si>
  <si>
    <t>Valoarea reziduala în Anul N+9</t>
  </si>
  <si>
    <t>Rata de actualizare (%)</t>
  </si>
  <si>
    <t xml:space="preserve">Cheltuieli salariale direct productive </t>
  </si>
  <si>
    <t>Cheltuieli salariale- personal indirect productiv</t>
  </si>
  <si>
    <t>B. La nivel de an - pentru anii N+1 - N+4</t>
  </si>
  <si>
    <t>A. La nivel de luna - pentru anul N</t>
  </si>
  <si>
    <t>Taxe si impozite indirecte</t>
  </si>
  <si>
    <t>Coeficient de repartizare a dividendelor</t>
  </si>
  <si>
    <t>Detalii</t>
  </si>
  <si>
    <t>Ipoteze de Previziune a Contului de Rezultat (Profit şi pierdere)</t>
  </si>
  <si>
    <t xml:space="preserve">   PLAN DE RAMBURSARE</t>
  </si>
  <si>
    <t xml:space="preserve">   IPOTEZE DE PREVIZIUNE</t>
  </si>
  <si>
    <t>CONT DE REZULTAT</t>
  </si>
  <si>
    <t xml:space="preserve">   COSTURILE DE EXPLOATARE</t>
  </si>
  <si>
    <t xml:space="preserve">     BILANŢ PREVIZIONAT</t>
  </si>
  <si>
    <t xml:space="preserve">  FLUX DE NUMERAR</t>
  </si>
  <si>
    <t>INDICATORI DE ANALIZĂ A AFACERII</t>
  </si>
  <si>
    <t>Perioada</t>
  </si>
  <si>
    <t>Amortizarea intrarilor</t>
  </si>
  <si>
    <t>Perioada de gratie (luni)</t>
  </si>
  <si>
    <t xml:space="preserve">            </t>
  </si>
  <si>
    <t>Vanzari pe credit (% CA)</t>
  </si>
  <si>
    <t>Achiziţii pe credit (% Cheltuielile materiale)</t>
  </si>
  <si>
    <t>Final introducere Ipoteze de iniţializare a Aplicaţiei</t>
  </si>
  <si>
    <t>Cota de impozit pe profit</t>
  </si>
  <si>
    <t xml:space="preserve">Aport la capitalul social </t>
  </si>
  <si>
    <t>Stocuri la 01.01.N (aport la cap. social)</t>
  </si>
  <si>
    <t xml:space="preserve">Stocuri la 31.01.N </t>
  </si>
  <si>
    <t xml:space="preserve">Clienti </t>
  </si>
  <si>
    <t xml:space="preserve">Alte active curente </t>
  </si>
  <si>
    <t>Furnizori si conturi asimilate</t>
  </si>
  <si>
    <t>Alte pasive curente</t>
  </si>
  <si>
    <t>Aport suplimentar la capitalul social</t>
  </si>
  <si>
    <t xml:space="preserve">Retragere de capital social </t>
  </si>
  <si>
    <t>Fond salarii(lunar) personal indirect productiv - fix pe intreaga perioada</t>
  </si>
  <si>
    <t>Taxe postale si de telecomunicatii(lunare)+B73 - fixe pe intreaga perioada</t>
  </si>
  <si>
    <t>Active brute</t>
  </si>
  <si>
    <t xml:space="preserve">Amortizari aferente </t>
  </si>
  <si>
    <t>Stocuri</t>
  </si>
  <si>
    <t>Creante-clienti</t>
  </si>
  <si>
    <t>Alte active curente</t>
  </si>
  <si>
    <t>Numerar utilizabil</t>
  </si>
  <si>
    <t xml:space="preserve">Capital social </t>
  </si>
  <si>
    <t xml:space="preserve">Rezultatul exercitiului </t>
  </si>
  <si>
    <t xml:space="preserve">        - Repartizarea profitului la dividende</t>
  </si>
  <si>
    <t xml:space="preserve">       - Repartizarea profitului la rezerve</t>
  </si>
  <si>
    <t>Rezerve</t>
  </si>
  <si>
    <t>ACTIVE FIXE NETE</t>
  </si>
  <si>
    <t>Datorii strainatate</t>
  </si>
  <si>
    <t>Datorii in tara</t>
  </si>
  <si>
    <t>Dividende datorate</t>
  </si>
  <si>
    <t>Rata de acoperire a capitalului propriu</t>
  </si>
  <si>
    <t>RATA DE ACOPERIRE A CAPITALULUI PROPRIU (GRADUL DE INDATORARE)</t>
  </si>
  <si>
    <t>VITEZA DE ROTATIE A ACTIVELOR CIRCULANTE PRIN CIFRA DE AFACERI (zile)</t>
  </si>
  <si>
    <t>VITEZA DE ROTATIE A STOCURILOR(zile)</t>
  </si>
  <si>
    <t>VITEZA DE ROTATIE A CREANTELOR(zile)</t>
  </si>
  <si>
    <t>VITEZA DE ROTATIE A FURNIZORILOR (zile)</t>
  </si>
  <si>
    <t>Furnizori si conturi asimilate la 31.01.N</t>
  </si>
  <si>
    <t>Numerar utilizabil la 01.01.N (aport la cap. social)</t>
  </si>
  <si>
    <t>MARJA PROFITULUI DE EXPLOATARE (%)</t>
  </si>
  <si>
    <t>MARJA PROFITULUI NET(%)</t>
  </si>
  <si>
    <t>RENTABILITATEA CAPITALULUI PROPRIU (%)</t>
  </si>
  <si>
    <t>RENTABILITATEA ACTIVELOR TOTALE (%)</t>
  </si>
  <si>
    <t>INDICATORI DE INDATORARE</t>
  </si>
  <si>
    <t xml:space="preserve">       - Repartizarea profitului la rezerve/ acop. pierd. ant.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</si>
</sst>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DM&quot;_-;\-* #,##0.00\ &quot;DM&quot;_-;_-* &quot;-&quot;??\ &quot;DM&quot;_-;_-@_-"/>
    <numFmt numFmtId="165" formatCode="#,##0.0000"/>
    <numFmt numFmtId="166" formatCode="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5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15"/>
      <name val="Arial CE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2"/>
    </font>
    <font>
      <b/>
      <u val="single"/>
      <sz val="18"/>
      <name val="Arial"/>
      <family val="2"/>
    </font>
    <font>
      <sz val="10"/>
      <name val="Arial CE"/>
      <family val="0"/>
    </font>
    <font>
      <b/>
      <sz val="10"/>
      <color indexed="15"/>
      <name val="Arial"/>
      <family val="2"/>
    </font>
    <font>
      <b/>
      <sz val="14"/>
      <color indexed="15"/>
      <name val="Arial CE"/>
      <family val="2"/>
    </font>
    <font>
      <sz val="14"/>
      <color indexed="15"/>
      <name val="Arial"/>
      <family val="2"/>
    </font>
    <font>
      <b/>
      <sz val="10"/>
      <name val="Arial CE"/>
      <family val="2"/>
    </font>
    <font>
      <sz val="14"/>
      <color indexed="15"/>
      <name val="Arial CE"/>
      <family val="2"/>
    </font>
    <font>
      <sz val="14"/>
      <color indexed="16"/>
      <name val="Arial CE"/>
      <family val="2"/>
    </font>
    <font>
      <u val="single"/>
      <sz val="10"/>
      <color indexed="16"/>
      <name val="Arial"/>
      <family val="2"/>
    </font>
    <font>
      <sz val="14"/>
      <color indexed="16"/>
      <name val="Arial"/>
      <family val="2"/>
    </font>
    <font>
      <b/>
      <u val="single"/>
      <sz val="16"/>
      <color indexed="16"/>
      <name val="Arial CE"/>
      <family val="2"/>
    </font>
    <font>
      <b/>
      <sz val="16"/>
      <color indexed="16"/>
      <name val="Arial CE"/>
      <family val="2"/>
    </font>
    <font>
      <b/>
      <u val="single"/>
      <sz val="18"/>
      <color indexed="16"/>
      <name val="Arial"/>
      <family val="2"/>
    </font>
    <font>
      <b/>
      <u val="single"/>
      <sz val="18"/>
      <color indexed="16"/>
      <name val="Arial CE"/>
      <family val="2"/>
    </font>
    <font>
      <sz val="10"/>
      <color indexed="22"/>
      <name val="Arial CE"/>
      <family val="0"/>
    </font>
    <font>
      <sz val="10"/>
      <color indexed="22"/>
      <name val="Arial"/>
      <family val="0"/>
    </font>
    <font>
      <b/>
      <sz val="10"/>
      <color indexed="22"/>
      <name val="Arial CE"/>
      <family val="2"/>
    </font>
    <font>
      <b/>
      <sz val="10"/>
      <color indexed="22"/>
      <name val="Arial"/>
      <family val="2"/>
    </font>
    <font>
      <i/>
      <sz val="10"/>
      <color indexed="22"/>
      <name val="Arial"/>
      <family val="2"/>
    </font>
    <font>
      <i/>
      <sz val="10"/>
      <color indexed="22"/>
      <name val="Arial CE"/>
      <family val="2"/>
    </font>
    <font>
      <b/>
      <sz val="12"/>
      <color indexed="16"/>
      <name val="Arial"/>
      <family val="2"/>
    </font>
    <font>
      <b/>
      <sz val="14"/>
      <color indexed="15"/>
      <name val="Arial"/>
      <family val="2"/>
    </font>
    <font>
      <b/>
      <sz val="14"/>
      <color indexed="22"/>
      <name val="Arial CE"/>
      <family val="2"/>
    </font>
    <font>
      <b/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5"/>
      <name val="Arial"/>
      <family val="2"/>
    </font>
    <font>
      <b/>
      <sz val="18"/>
      <color indexed="15"/>
      <name val="Arial CE"/>
      <family val="2"/>
    </font>
    <font>
      <b/>
      <sz val="20"/>
      <color indexed="15"/>
      <name val="Arial"/>
      <family val="2"/>
    </font>
    <font>
      <b/>
      <sz val="18"/>
      <color indexed="15"/>
      <name val="Arial"/>
      <family val="2"/>
    </font>
    <font>
      <b/>
      <sz val="12"/>
      <color indexed="15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9"/>
      <color indexed="8"/>
      <name val="Arial"/>
      <family val="2"/>
    </font>
    <font>
      <b/>
      <sz val="10"/>
      <name val="Arial"/>
      <family val="0"/>
    </font>
    <font>
      <sz val="8"/>
      <name val="Tahoma"/>
      <family val="2"/>
    </font>
    <font>
      <b/>
      <sz val="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8"/>
      <color indexed="8"/>
      <name val="Arial"/>
      <family val="0"/>
    </font>
    <font>
      <b/>
      <sz val="10.75"/>
      <color indexed="8"/>
      <name val="Arial"/>
      <family val="0"/>
    </font>
    <font>
      <sz val="11.75"/>
      <color indexed="8"/>
      <name val="Arial"/>
      <family val="0"/>
    </font>
    <font>
      <b/>
      <sz val="11.25"/>
      <color indexed="8"/>
      <name val="Arial"/>
      <family val="0"/>
    </font>
    <font>
      <b/>
      <sz val="16.7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75"/>
      <color indexed="8"/>
      <name val="Arial"/>
      <family val="0"/>
    </font>
    <font>
      <b/>
      <sz val="11.5"/>
      <color indexed="8"/>
      <name val="Arial"/>
      <family val="0"/>
    </font>
    <font>
      <sz val="12"/>
      <color indexed="8"/>
      <name val="Arial"/>
      <family val="0"/>
    </font>
    <font>
      <b/>
      <sz val="10.1"/>
      <color indexed="8"/>
      <name val="Arial"/>
      <family val="0"/>
    </font>
    <font>
      <b/>
      <sz val="14.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1" fillId="33" borderId="0" xfId="52" applyFont="1" applyFill="1" applyAlignment="1" applyProtection="1">
      <alignment/>
      <protection/>
    </xf>
    <xf numFmtId="0" fontId="11" fillId="33" borderId="0" xfId="52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3" fontId="2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5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9" fontId="2" fillId="34" borderId="0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9" fontId="5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3" fontId="2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/>
    </xf>
    <xf numFmtId="3" fontId="4" fillId="37" borderId="12" xfId="0" applyNumberFormat="1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 horizontal="center"/>
    </xf>
    <xf numFmtId="3" fontId="5" fillId="37" borderId="11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22" fillId="38" borderId="0" xfId="0" applyFont="1" applyFill="1" applyAlignment="1">
      <alignment/>
    </xf>
    <xf numFmtId="3" fontId="13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23" fillId="39" borderId="0" xfId="52" applyFont="1" applyFill="1" applyAlignment="1" applyProtection="1">
      <alignment/>
      <protection/>
    </xf>
    <xf numFmtId="0" fontId="12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" fillId="38" borderId="0" xfId="0" applyFont="1" applyFill="1" applyAlignment="1">
      <alignment/>
    </xf>
    <xf numFmtId="0" fontId="22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38" borderId="0" xfId="0" applyFont="1" applyFill="1" applyAlignment="1">
      <alignment/>
    </xf>
    <xf numFmtId="0" fontId="2" fillId="40" borderId="15" xfId="0" applyFont="1" applyFill="1" applyBorder="1" applyAlignment="1">
      <alignment/>
    </xf>
    <xf numFmtId="0" fontId="5" fillId="40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5" fillId="40" borderId="10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wrapText="1"/>
    </xf>
    <xf numFmtId="0" fontId="2" fillId="41" borderId="17" xfId="0" applyFont="1" applyFill="1" applyBorder="1" applyAlignment="1">
      <alignment wrapText="1"/>
    </xf>
    <xf numFmtId="0" fontId="22" fillId="38" borderId="0" xfId="0" applyFont="1" applyFill="1" applyBorder="1" applyAlignment="1">
      <alignment/>
    </xf>
    <xf numFmtId="9" fontId="14" fillId="38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37" borderId="19" xfId="0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0" fontId="22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3" fontId="2" fillId="4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1" fillId="34" borderId="0" xfId="52" applyFont="1" applyFill="1" applyAlignment="1" applyProtection="1">
      <alignment horizontal="left"/>
      <protection/>
    </xf>
    <xf numFmtId="0" fontId="0" fillId="33" borderId="0" xfId="0" applyFill="1" applyAlignment="1">
      <alignment horizontal="center"/>
    </xf>
    <xf numFmtId="3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11" fillId="33" borderId="0" xfId="52" applyFont="1" applyFill="1" applyAlignment="1" applyProtection="1">
      <alignment horizontal="left"/>
      <protection/>
    </xf>
    <xf numFmtId="0" fontId="25" fillId="38" borderId="0" xfId="0" applyFont="1" applyFill="1" applyAlignment="1">
      <alignment/>
    </xf>
    <xf numFmtId="0" fontId="13" fillId="38" borderId="0" xfId="0" applyFont="1" applyFill="1" applyAlignment="1">
      <alignment horizontal="center"/>
    </xf>
    <xf numFmtId="3" fontId="13" fillId="38" borderId="0" xfId="0" applyNumberFormat="1" applyFont="1" applyFill="1" applyAlignment="1">
      <alignment/>
    </xf>
    <xf numFmtId="3" fontId="6" fillId="42" borderId="20" xfId="0" applyNumberFormat="1" applyFont="1" applyFill="1" applyBorder="1" applyAlignment="1">
      <alignment horizontal="center"/>
    </xf>
    <xf numFmtId="3" fontId="6" fillId="42" borderId="21" xfId="0" applyNumberFormat="1" applyFont="1" applyFill="1" applyBorder="1" applyAlignment="1">
      <alignment horizontal="center"/>
    </xf>
    <xf numFmtId="3" fontId="0" fillId="43" borderId="22" xfId="0" applyNumberFormat="1" applyFont="1" applyFill="1" applyBorder="1" applyAlignment="1">
      <alignment/>
    </xf>
    <xf numFmtId="3" fontId="0" fillId="43" borderId="10" xfId="0" applyNumberFormat="1" applyFont="1" applyFill="1" applyBorder="1" applyAlignment="1">
      <alignment/>
    </xf>
    <xf numFmtId="3" fontId="0" fillId="43" borderId="23" xfId="0" applyNumberFormat="1" applyFont="1" applyFill="1" applyBorder="1" applyAlignment="1">
      <alignment/>
    </xf>
    <xf numFmtId="3" fontId="0" fillId="43" borderId="24" xfId="0" applyNumberFormat="1" applyFont="1" applyFill="1" applyBorder="1" applyAlignment="1">
      <alignment/>
    </xf>
    <xf numFmtId="3" fontId="0" fillId="43" borderId="14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3" fontId="6" fillId="44" borderId="0" xfId="0" applyNumberFormat="1" applyFont="1" applyFill="1" applyBorder="1" applyAlignment="1">
      <alignment horizontal="center"/>
    </xf>
    <xf numFmtId="3" fontId="5" fillId="42" borderId="25" xfId="0" applyNumberFormat="1" applyFont="1" applyFill="1" applyBorder="1" applyAlignment="1">
      <alignment/>
    </xf>
    <xf numFmtId="3" fontId="6" fillId="44" borderId="26" xfId="0" applyNumberFormat="1" applyFont="1" applyFill="1" applyBorder="1" applyAlignment="1">
      <alignment horizontal="center"/>
    </xf>
    <xf numFmtId="3" fontId="6" fillId="44" borderId="27" xfId="0" applyNumberFormat="1" applyFont="1" applyFill="1" applyBorder="1" applyAlignment="1">
      <alignment horizontal="center"/>
    </xf>
    <xf numFmtId="3" fontId="6" fillId="44" borderId="28" xfId="0" applyNumberFormat="1" applyFont="1" applyFill="1" applyBorder="1" applyAlignment="1">
      <alignment horizontal="center"/>
    </xf>
    <xf numFmtId="3" fontId="6" fillId="42" borderId="29" xfId="0" applyNumberFormat="1" applyFont="1" applyFill="1" applyBorder="1" applyAlignment="1">
      <alignment horizontal="center"/>
    </xf>
    <xf numFmtId="3" fontId="0" fillId="43" borderId="30" xfId="0" applyNumberFormat="1" applyFont="1" applyFill="1" applyBorder="1" applyAlignment="1">
      <alignment horizontal="center"/>
    </xf>
    <xf numFmtId="3" fontId="0" fillId="43" borderId="31" xfId="0" applyNumberFormat="1" applyFont="1" applyFill="1" applyBorder="1" applyAlignment="1">
      <alignment/>
    </xf>
    <xf numFmtId="3" fontId="0" fillId="43" borderId="32" xfId="0" applyNumberFormat="1" applyFont="1" applyFill="1" applyBorder="1" applyAlignment="1">
      <alignment/>
    </xf>
    <xf numFmtId="3" fontId="0" fillId="43" borderId="33" xfId="0" applyNumberFormat="1" applyFont="1" applyFill="1" applyBorder="1" applyAlignment="1">
      <alignment/>
    </xf>
    <xf numFmtId="3" fontId="0" fillId="43" borderId="34" xfId="0" applyNumberFormat="1" applyFont="1" applyFill="1" applyBorder="1" applyAlignment="1">
      <alignment horizontal="center"/>
    </xf>
    <xf numFmtId="3" fontId="0" fillId="43" borderId="35" xfId="0" applyNumberFormat="1" applyFont="1" applyFill="1" applyBorder="1" applyAlignment="1">
      <alignment/>
    </xf>
    <xf numFmtId="3" fontId="0" fillId="43" borderId="36" xfId="0" applyNumberFormat="1" applyFont="1" applyFill="1" applyBorder="1" applyAlignment="1">
      <alignment horizontal="center"/>
    </xf>
    <xf numFmtId="3" fontId="0" fillId="43" borderId="37" xfId="0" applyNumberFormat="1" applyFont="1" applyFill="1" applyBorder="1" applyAlignment="1">
      <alignment horizontal="center"/>
    </xf>
    <xf numFmtId="3" fontId="0" fillId="43" borderId="38" xfId="0" applyNumberFormat="1" applyFont="1" applyFill="1" applyBorder="1" applyAlignment="1">
      <alignment/>
    </xf>
    <xf numFmtId="3" fontId="0" fillId="43" borderId="39" xfId="0" applyNumberFormat="1" applyFont="1" applyFill="1" applyBorder="1" applyAlignment="1">
      <alignment horizontal="center"/>
    </xf>
    <xf numFmtId="3" fontId="0" fillId="43" borderId="40" xfId="0" applyNumberFormat="1" applyFont="1" applyFill="1" applyBorder="1" applyAlignment="1">
      <alignment/>
    </xf>
    <xf numFmtId="3" fontId="0" fillId="43" borderId="41" xfId="0" applyNumberFormat="1" applyFont="1" applyFill="1" applyBorder="1" applyAlignment="1">
      <alignment horizontal="center"/>
    </xf>
    <xf numFmtId="3" fontId="0" fillId="43" borderId="42" xfId="0" applyNumberFormat="1" applyFont="1" applyFill="1" applyBorder="1" applyAlignment="1">
      <alignment/>
    </xf>
    <xf numFmtId="0" fontId="2" fillId="42" borderId="43" xfId="0" applyFont="1" applyFill="1" applyBorder="1" applyAlignment="1">
      <alignment/>
    </xf>
    <xf numFmtId="0" fontId="2" fillId="42" borderId="44" xfId="0" applyFont="1" applyFill="1" applyBorder="1" applyAlignment="1">
      <alignment/>
    </xf>
    <xf numFmtId="3" fontId="6" fillId="42" borderId="45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43" borderId="10" xfId="0" applyNumberFormat="1" applyFont="1" applyFill="1" applyBorder="1" applyAlignment="1">
      <alignment/>
    </xf>
    <xf numFmtId="0" fontId="26" fillId="38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1" fontId="2" fillId="34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5" fillId="34" borderId="0" xfId="0" applyFont="1" applyFill="1" applyAlignment="1">
      <alignment wrapText="1"/>
    </xf>
    <xf numFmtId="3" fontId="5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5" fillId="35" borderId="0" xfId="0" applyFont="1" applyFill="1" applyAlignment="1">
      <alignment wrapText="1"/>
    </xf>
    <xf numFmtId="3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1" fontId="2" fillId="34" borderId="0" xfId="0" applyNumberFormat="1" applyFont="1" applyFill="1" applyBorder="1" applyAlignment="1">
      <alignment horizontal="left"/>
    </xf>
    <xf numFmtId="1" fontId="5" fillId="40" borderId="10" xfId="0" applyNumberFormat="1" applyFont="1" applyFill="1" applyBorder="1" applyAlignment="1">
      <alignment horizontal="left"/>
    </xf>
    <xf numFmtId="0" fontId="8" fillId="40" borderId="10" xfId="0" applyFont="1" applyFill="1" applyBorder="1" applyAlignment="1">
      <alignment wrapText="1"/>
    </xf>
    <xf numFmtId="3" fontId="8" fillId="40" borderId="19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/>
    </xf>
    <xf numFmtId="3" fontId="5" fillId="44" borderId="10" xfId="0" applyNumberFormat="1" applyFont="1" applyFill="1" applyBorder="1" applyAlignment="1">
      <alignment/>
    </xf>
    <xf numFmtId="3" fontId="6" fillId="44" borderId="16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 horizontal="left"/>
    </xf>
    <xf numFmtId="1" fontId="5" fillId="37" borderId="10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 horizontal="left"/>
    </xf>
    <xf numFmtId="3" fontId="5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45" borderId="46" xfId="0" applyFont="1" applyFill="1" applyBorder="1" applyAlignment="1">
      <alignment horizontal="left" wrapText="1"/>
    </xf>
    <xf numFmtId="3" fontId="5" fillId="45" borderId="47" xfId="0" applyNumberFormat="1" applyFont="1" applyFill="1" applyBorder="1" applyAlignment="1">
      <alignment/>
    </xf>
    <xf numFmtId="3" fontId="5" fillId="45" borderId="48" xfId="0" applyNumberFormat="1" applyFont="1" applyFill="1" applyBorder="1" applyAlignment="1">
      <alignment/>
    </xf>
    <xf numFmtId="0" fontId="27" fillId="39" borderId="0" xfId="0" applyFont="1" applyFill="1" applyAlignment="1">
      <alignment/>
    </xf>
    <xf numFmtId="0" fontId="5" fillId="40" borderId="10" xfId="0" applyFont="1" applyFill="1" applyBorder="1" applyAlignment="1">
      <alignment wrapText="1"/>
    </xf>
    <xf numFmtId="1" fontId="16" fillId="36" borderId="10" xfId="0" applyNumberFormat="1" applyFont="1" applyFill="1" applyBorder="1" applyAlignment="1">
      <alignment/>
    </xf>
    <xf numFmtId="3" fontId="16" fillId="36" borderId="10" xfId="0" applyNumberFormat="1" applyFont="1" applyFill="1" applyBorder="1" applyAlignment="1">
      <alignment/>
    </xf>
    <xf numFmtId="3" fontId="20" fillId="36" borderId="1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3" fontId="2" fillId="34" borderId="0" xfId="0" applyNumberFormat="1" applyFont="1" applyFill="1" applyBorder="1" applyAlignment="1">
      <alignment horizontal="right"/>
    </xf>
    <xf numFmtId="3" fontId="5" fillId="36" borderId="19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40" borderId="19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8" fillId="40" borderId="49" xfId="0" applyFont="1" applyFill="1" applyBorder="1" applyAlignment="1">
      <alignment horizontal="center" wrapText="1"/>
    </xf>
    <xf numFmtId="0" fontId="5" fillId="40" borderId="32" xfId="0" applyFont="1" applyFill="1" applyBorder="1" applyAlignment="1">
      <alignment horizontal="center"/>
    </xf>
    <xf numFmtId="0" fontId="5" fillId="40" borderId="33" xfId="0" applyFont="1" applyFill="1" applyBorder="1" applyAlignment="1">
      <alignment horizontal="center"/>
    </xf>
    <xf numFmtId="0" fontId="5" fillId="37" borderId="36" xfId="0" applyFont="1" applyFill="1" applyBorder="1" applyAlignment="1">
      <alignment vertical="top" wrapText="1"/>
    </xf>
    <xf numFmtId="3" fontId="5" fillId="36" borderId="42" xfId="0" applyNumberFormat="1" applyFont="1" applyFill="1" applyBorder="1" applyAlignment="1">
      <alignment/>
    </xf>
    <xf numFmtId="3" fontId="2" fillId="37" borderId="36" xfId="0" applyNumberFormat="1" applyFont="1" applyFill="1" applyBorder="1" applyAlignment="1">
      <alignment horizontal="left"/>
    </xf>
    <xf numFmtId="3" fontId="2" fillId="36" borderId="50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left" vertical="top" wrapText="1"/>
    </xf>
    <xf numFmtId="3" fontId="2" fillId="36" borderId="40" xfId="0" applyNumberFormat="1" applyFont="1" applyFill="1" applyBorder="1" applyAlignment="1">
      <alignment/>
    </xf>
    <xf numFmtId="3" fontId="2" fillId="36" borderId="35" xfId="0" applyNumberFormat="1" applyFont="1" applyFill="1" applyBorder="1" applyAlignment="1">
      <alignment/>
    </xf>
    <xf numFmtId="0" fontId="5" fillId="37" borderId="36" xfId="0" applyFont="1" applyFill="1" applyBorder="1" applyAlignment="1">
      <alignment horizontal="left"/>
    </xf>
    <xf numFmtId="3" fontId="5" fillId="36" borderId="35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left"/>
    </xf>
    <xf numFmtId="3" fontId="2" fillId="37" borderId="36" xfId="0" applyNumberFormat="1" applyFont="1" applyFill="1" applyBorder="1" applyAlignment="1">
      <alignment horizontal="left"/>
    </xf>
    <xf numFmtId="0" fontId="2" fillId="37" borderId="36" xfId="0" applyFont="1" applyFill="1" applyBorder="1" applyAlignment="1">
      <alignment horizontal="left" vertical="top" wrapText="1"/>
    </xf>
    <xf numFmtId="0" fontId="2" fillId="37" borderId="36" xfId="0" applyFont="1" applyFill="1" applyBorder="1" applyAlignment="1">
      <alignment horizontal="left"/>
    </xf>
    <xf numFmtId="0" fontId="5" fillId="37" borderId="41" xfId="0" applyFont="1" applyFill="1" applyBorder="1" applyAlignment="1">
      <alignment vertical="top" wrapText="1"/>
    </xf>
    <xf numFmtId="0" fontId="22" fillId="46" borderId="43" xfId="0" applyFont="1" applyFill="1" applyBorder="1" applyAlignment="1">
      <alignment horizontal="center" wrapText="1"/>
    </xf>
    <xf numFmtId="3" fontId="13" fillId="46" borderId="25" xfId="0" applyNumberFormat="1" applyFont="1" applyFill="1" applyBorder="1" applyAlignment="1">
      <alignment/>
    </xf>
    <xf numFmtId="3" fontId="13" fillId="46" borderId="44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center"/>
    </xf>
    <xf numFmtId="3" fontId="8" fillId="40" borderId="33" xfId="0" applyNumberFormat="1" applyFont="1" applyFill="1" applyBorder="1" applyAlignment="1">
      <alignment horizontal="center"/>
    </xf>
    <xf numFmtId="0" fontId="5" fillId="37" borderId="51" xfId="0" applyFont="1" applyFill="1" applyBorder="1" applyAlignment="1">
      <alignment vertical="top" wrapText="1"/>
    </xf>
    <xf numFmtId="3" fontId="5" fillId="36" borderId="24" xfId="0" applyNumberFormat="1" applyFont="1" applyFill="1" applyBorder="1" applyAlignment="1">
      <alignment/>
    </xf>
    <xf numFmtId="3" fontId="5" fillId="36" borderId="38" xfId="0" applyNumberFormat="1" applyFont="1" applyFill="1" applyBorder="1" applyAlignment="1">
      <alignment/>
    </xf>
    <xf numFmtId="3" fontId="5" fillId="40" borderId="21" xfId="0" applyNumberFormat="1" applyFont="1" applyFill="1" applyBorder="1" applyAlignment="1">
      <alignment horizontal="center" vertical="center" wrapText="1"/>
    </xf>
    <xf numFmtId="3" fontId="5" fillId="40" borderId="45" xfId="0" applyNumberFormat="1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/>
    </xf>
    <xf numFmtId="3" fontId="5" fillId="37" borderId="35" xfId="0" applyNumberFormat="1" applyFont="1" applyFill="1" applyBorder="1" applyAlignment="1">
      <alignment/>
    </xf>
    <xf numFmtId="0" fontId="2" fillId="37" borderId="36" xfId="0" applyFont="1" applyFill="1" applyBorder="1" applyAlignment="1">
      <alignment vertical="top" wrapText="1"/>
    </xf>
    <xf numFmtId="0" fontId="2" fillId="37" borderId="36" xfId="0" applyFont="1" applyFill="1" applyBorder="1" applyAlignment="1">
      <alignment vertical="top" wrapText="1"/>
    </xf>
    <xf numFmtId="3" fontId="5" fillId="37" borderId="42" xfId="0" applyNumberFormat="1" applyFont="1" applyFill="1" applyBorder="1" applyAlignment="1">
      <alignment/>
    </xf>
    <xf numFmtId="0" fontId="22" fillId="46" borderId="43" xfId="0" applyFont="1" applyFill="1" applyBorder="1" applyAlignment="1">
      <alignment horizontal="center"/>
    </xf>
    <xf numFmtId="0" fontId="28" fillId="38" borderId="0" xfId="0" applyFont="1" applyFill="1" applyAlignment="1">
      <alignment/>
    </xf>
    <xf numFmtId="0" fontId="13" fillId="38" borderId="0" xfId="0" applyFont="1" applyFill="1" applyAlignment="1">
      <alignment/>
    </xf>
    <xf numFmtId="3" fontId="2" fillId="36" borderId="19" xfId="0" applyNumberFormat="1" applyFont="1" applyFill="1" applyBorder="1" applyAlignment="1">
      <alignment/>
    </xf>
    <xf numFmtId="3" fontId="5" fillId="36" borderId="15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" fillId="36" borderId="52" xfId="0" applyNumberFormat="1" applyFont="1" applyFill="1" applyBorder="1" applyAlignment="1">
      <alignment/>
    </xf>
    <xf numFmtId="3" fontId="5" fillId="36" borderId="53" xfId="0" applyNumberFormat="1" applyFont="1" applyFill="1" applyBorder="1" applyAlignment="1">
      <alignment/>
    </xf>
    <xf numFmtId="3" fontId="2" fillId="36" borderId="53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2" fillId="36" borderId="54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0" fontId="2" fillId="34" borderId="55" xfId="0" applyFont="1" applyFill="1" applyBorder="1" applyAlignment="1">
      <alignment/>
    </xf>
    <xf numFmtId="3" fontId="2" fillId="36" borderId="42" xfId="0" applyNumberFormat="1" applyFont="1" applyFill="1" applyBorder="1" applyAlignment="1">
      <alignment/>
    </xf>
    <xf numFmtId="3" fontId="5" fillId="36" borderId="50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2" fillId="36" borderId="56" xfId="0" applyNumberFormat="1" applyFont="1" applyFill="1" applyBorder="1" applyAlignment="1">
      <alignment/>
    </xf>
    <xf numFmtId="3" fontId="13" fillId="47" borderId="24" xfId="0" applyNumberFormat="1" applyFont="1" applyFill="1" applyBorder="1" applyAlignment="1">
      <alignment/>
    </xf>
    <xf numFmtId="3" fontId="13" fillId="47" borderId="3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5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2" fillId="48" borderId="13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3" fontId="29" fillId="34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8" fillId="38" borderId="0" xfId="0" applyFont="1" applyFill="1" applyAlignment="1">
      <alignment horizontal="left"/>
    </xf>
    <xf numFmtId="0" fontId="12" fillId="39" borderId="0" xfId="0" applyFont="1" applyFill="1" applyAlignment="1">
      <alignment horizontal="center"/>
    </xf>
    <xf numFmtId="0" fontId="5" fillId="40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/>
    </xf>
    <xf numFmtId="49" fontId="28" fillId="38" borderId="0" xfId="0" applyNumberFormat="1" applyFont="1" applyFill="1" applyBorder="1" applyAlignment="1">
      <alignment/>
    </xf>
    <xf numFmtId="0" fontId="13" fillId="38" borderId="0" xfId="0" applyFont="1" applyFill="1" applyBorder="1" applyAlignment="1">
      <alignment/>
    </xf>
    <xf numFmtId="3" fontId="2" fillId="36" borderId="57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5" fillId="36" borderId="57" xfId="0" applyNumberFormat="1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5" fillId="40" borderId="58" xfId="0" applyFont="1" applyFill="1" applyBorder="1" applyAlignment="1">
      <alignment horizontal="center"/>
    </xf>
    <xf numFmtId="0" fontId="5" fillId="40" borderId="59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49" fontId="5" fillId="37" borderId="60" xfId="0" applyNumberFormat="1" applyFont="1" applyFill="1" applyBorder="1" applyAlignment="1">
      <alignment wrapText="1"/>
    </xf>
    <xf numFmtId="49" fontId="2" fillId="37" borderId="34" xfId="0" applyNumberFormat="1" applyFont="1" applyFill="1" applyBorder="1" applyAlignment="1">
      <alignment horizontal="left" wrapText="1"/>
    </xf>
    <xf numFmtId="49" fontId="2" fillId="37" borderId="36" xfId="0" applyNumberFormat="1" applyFont="1" applyFill="1" applyBorder="1" applyAlignment="1">
      <alignment horizontal="left" wrapText="1"/>
    </xf>
    <xf numFmtId="49" fontId="2" fillId="37" borderId="41" xfId="0" applyNumberFormat="1" applyFont="1" applyFill="1" applyBorder="1" applyAlignment="1">
      <alignment horizontal="left" wrapText="1"/>
    </xf>
    <xf numFmtId="49" fontId="2" fillId="37" borderId="61" xfId="0" applyNumberFormat="1" applyFont="1" applyFill="1" applyBorder="1" applyAlignment="1">
      <alignment horizontal="left" wrapText="1"/>
    </xf>
    <xf numFmtId="3" fontId="2" fillId="36" borderId="62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wrapText="1"/>
    </xf>
    <xf numFmtId="49" fontId="5" fillId="37" borderId="61" xfId="0" applyNumberFormat="1" applyFont="1" applyFill="1" applyBorder="1" applyAlignment="1">
      <alignment wrapText="1"/>
    </xf>
    <xf numFmtId="3" fontId="5" fillId="36" borderId="62" xfId="0" applyNumberFormat="1" applyFont="1" applyFill="1" applyBorder="1" applyAlignment="1">
      <alignment/>
    </xf>
    <xf numFmtId="3" fontId="2" fillId="36" borderId="40" xfId="0" applyNumberFormat="1" applyFont="1" applyFill="1" applyBorder="1" applyAlignment="1">
      <alignment/>
    </xf>
    <xf numFmtId="49" fontId="2" fillId="37" borderId="36" xfId="0" applyNumberFormat="1" applyFont="1" applyFill="1" applyBorder="1" applyAlignment="1">
      <alignment wrapText="1"/>
    </xf>
    <xf numFmtId="49" fontId="5" fillId="37" borderId="36" xfId="0" applyNumberFormat="1" applyFont="1" applyFill="1" applyBorder="1" applyAlignment="1">
      <alignment wrapText="1"/>
    </xf>
    <xf numFmtId="49" fontId="5" fillId="37" borderId="36" xfId="0" applyNumberFormat="1" applyFont="1" applyFill="1" applyBorder="1" applyAlignment="1">
      <alignment/>
    </xf>
    <xf numFmtId="49" fontId="2" fillId="37" borderId="36" xfId="0" applyNumberFormat="1" applyFont="1" applyFill="1" applyBorder="1" applyAlignment="1">
      <alignment/>
    </xf>
    <xf numFmtId="0" fontId="28" fillId="38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12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2" fillId="36" borderId="63" xfId="0" applyNumberFormat="1" applyFont="1" applyFill="1" applyBorder="1" applyAlignment="1">
      <alignment/>
    </xf>
    <xf numFmtId="4" fontId="2" fillId="36" borderId="64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2" fillId="36" borderId="65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66" xfId="0" applyNumberFormat="1" applyFont="1" applyFill="1" applyBorder="1" applyAlignment="1">
      <alignment/>
    </xf>
    <xf numFmtId="4" fontId="2" fillId="36" borderId="57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0" fontId="28" fillId="34" borderId="0" xfId="0" applyFont="1" applyFill="1" applyBorder="1" applyAlignment="1">
      <alignment horizontal="left" vertical="top"/>
    </xf>
    <xf numFmtId="0" fontId="5" fillId="40" borderId="49" xfId="0" applyFont="1" applyFill="1" applyBorder="1" applyAlignment="1">
      <alignment horizontal="center" vertical="top"/>
    </xf>
    <xf numFmtId="0" fontId="5" fillId="40" borderId="67" xfId="0" applyFont="1" applyFill="1" applyBorder="1" applyAlignment="1">
      <alignment horizontal="center"/>
    </xf>
    <xf numFmtId="0" fontId="5" fillId="40" borderId="68" xfId="0" applyFont="1" applyFill="1" applyBorder="1" applyAlignment="1">
      <alignment horizontal="center"/>
    </xf>
    <xf numFmtId="0" fontId="5" fillId="37" borderId="69" xfId="0" applyFont="1" applyFill="1" applyBorder="1" applyAlignment="1">
      <alignment horizontal="left" vertical="top" wrapText="1"/>
    </xf>
    <xf numFmtId="0" fontId="0" fillId="33" borderId="55" xfId="0" applyFill="1" applyBorder="1" applyAlignment="1">
      <alignment/>
    </xf>
    <xf numFmtId="0" fontId="4" fillId="37" borderId="69" xfId="0" applyFont="1" applyFill="1" applyBorder="1" applyAlignment="1">
      <alignment horizontal="left" vertical="top" wrapText="1"/>
    </xf>
    <xf numFmtId="0" fontId="2" fillId="37" borderId="69" xfId="0" applyFont="1" applyFill="1" applyBorder="1" applyAlignment="1">
      <alignment horizontal="left" vertical="top" wrapText="1"/>
    </xf>
    <xf numFmtId="4" fontId="0" fillId="33" borderId="55" xfId="0" applyNumberFormat="1" applyFill="1" applyBorder="1" applyAlignment="1">
      <alignment/>
    </xf>
    <xf numFmtId="4" fontId="2" fillId="36" borderId="70" xfId="0" applyNumberFormat="1" applyFont="1" applyFill="1" applyBorder="1" applyAlignment="1">
      <alignment/>
    </xf>
    <xf numFmtId="3" fontId="2" fillId="37" borderId="69" xfId="0" applyNumberFormat="1" applyFont="1" applyFill="1" applyBorder="1" applyAlignment="1">
      <alignment horizontal="left" vertical="top" wrapText="1"/>
    </xf>
    <xf numFmtId="4" fontId="2" fillId="36" borderId="35" xfId="0" applyNumberFormat="1" applyFont="1" applyFill="1" applyBorder="1" applyAlignment="1">
      <alignment/>
    </xf>
    <xf numFmtId="4" fontId="2" fillId="36" borderId="71" xfId="0" applyNumberFormat="1" applyFont="1" applyFill="1" applyBorder="1" applyAlignment="1">
      <alignment/>
    </xf>
    <xf numFmtId="4" fontId="2" fillId="36" borderId="62" xfId="0" applyNumberFormat="1" applyFont="1" applyFill="1" applyBorder="1" applyAlignment="1">
      <alignment/>
    </xf>
    <xf numFmtId="4" fontId="2" fillId="36" borderId="40" xfId="0" applyNumberFormat="1" applyFont="1" applyFill="1" applyBorder="1" applyAlignment="1">
      <alignment/>
    </xf>
    <xf numFmtId="4" fontId="2" fillId="36" borderId="72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2" fillId="36" borderId="38" xfId="0" applyNumberFormat="1" applyFont="1" applyFill="1" applyBorder="1" applyAlignment="1">
      <alignment/>
    </xf>
    <xf numFmtId="0" fontId="29" fillId="34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3" fontId="29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 horizontal="center" vertical="top"/>
    </xf>
    <xf numFmtId="0" fontId="31" fillId="34" borderId="0" xfId="0" applyFont="1" applyFill="1" applyBorder="1" applyAlignment="1">
      <alignment horizontal="left" vertical="top"/>
    </xf>
    <xf numFmtId="0" fontId="32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left" vertical="top"/>
    </xf>
    <xf numFmtId="0" fontId="30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left" vertical="top"/>
    </xf>
    <xf numFmtId="0" fontId="34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center" vertical="top"/>
    </xf>
    <xf numFmtId="3" fontId="31" fillId="34" borderId="0" xfId="0" applyNumberFormat="1" applyFont="1" applyFill="1" applyBorder="1" applyAlignment="1">
      <alignment horizontal="left" vertical="top"/>
    </xf>
    <xf numFmtId="3" fontId="29" fillId="34" borderId="0" xfId="0" applyNumberFormat="1" applyFont="1" applyFill="1" applyBorder="1" applyAlignment="1">
      <alignment horizontal="left" vertical="top"/>
    </xf>
    <xf numFmtId="3" fontId="34" fillId="34" borderId="0" xfId="0" applyNumberFormat="1" applyFont="1" applyFill="1" applyBorder="1" applyAlignment="1">
      <alignment horizontal="left" vertical="top"/>
    </xf>
    <xf numFmtId="4" fontId="29" fillId="34" borderId="0" xfId="0" applyNumberFormat="1" applyFont="1" applyFill="1" applyBorder="1" applyAlignment="1">
      <alignment/>
    </xf>
    <xf numFmtId="3" fontId="29" fillId="34" borderId="0" xfId="0" applyNumberFormat="1" applyFont="1" applyFill="1" applyBorder="1" applyAlignment="1">
      <alignment horizontal="left" vertical="top"/>
    </xf>
    <xf numFmtId="0" fontId="34" fillId="34" borderId="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/>
    </xf>
    <xf numFmtId="0" fontId="12" fillId="39" borderId="73" xfId="0" applyFont="1" applyFill="1" applyBorder="1" applyAlignment="1">
      <alignment/>
    </xf>
    <xf numFmtId="0" fontId="35" fillId="39" borderId="74" xfId="0" applyFont="1" applyFill="1" applyBorder="1" applyAlignment="1">
      <alignment/>
    </xf>
    <xf numFmtId="0" fontId="12" fillId="39" borderId="74" xfId="0" applyFont="1" applyFill="1" applyBorder="1" applyAlignment="1">
      <alignment/>
    </xf>
    <xf numFmtId="0" fontId="12" fillId="39" borderId="75" xfId="0" applyFont="1" applyFill="1" applyBorder="1" applyAlignment="1">
      <alignment/>
    </xf>
    <xf numFmtId="0" fontId="12" fillId="39" borderId="26" xfId="0" applyFont="1" applyFill="1" applyBorder="1" applyAlignment="1">
      <alignment/>
    </xf>
    <xf numFmtId="3" fontId="35" fillId="39" borderId="0" xfId="0" applyNumberFormat="1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55" xfId="0" applyFont="1" applyFill="1" applyBorder="1" applyAlignment="1">
      <alignment/>
    </xf>
    <xf numFmtId="0" fontId="35" fillId="39" borderId="0" xfId="0" applyFont="1" applyFill="1" applyBorder="1" applyAlignment="1">
      <alignment/>
    </xf>
    <xf numFmtId="9" fontId="35" fillId="39" borderId="0" xfId="0" applyNumberFormat="1" applyFont="1" applyFill="1" applyBorder="1" applyAlignment="1">
      <alignment/>
    </xf>
    <xf numFmtId="2" fontId="35" fillId="39" borderId="0" xfId="0" applyNumberFormat="1" applyFont="1" applyFill="1" applyBorder="1" applyAlignment="1">
      <alignment/>
    </xf>
    <xf numFmtId="0" fontId="12" fillId="39" borderId="76" xfId="0" applyFont="1" applyFill="1" applyBorder="1" applyAlignment="1">
      <alignment/>
    </xf>
    <xf numFmtId="0" fontId="12" fillId="39" borderId="77" xfId="0" applyFont="1" applyFill="1" applyBorder="1" applyAlignment="1">
      <alignment/>
    </xf>
    <xf numFmtId="0" fontId="12" fillId="39" borderId="78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7" borderId="14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3" fontId="5" fillId="45" borderId="10" xfId="0" applyNumberFormat="1" applyFont="1" applyFill="1" applyBorder="1" applyAlignment="1">
      <alignment/>
    </xf>
    <xf numFmtId="3" fontId="5" fillId="45" borderId="10" xfId="0" applyNumberFormat="1" applyFont="1" applyFill="1" applyBorder="1" applyAlignment="1">
      <alignment horizontal="left"/>
    </xf>
    <xf numFmtId="0" fontId="36" fillId="33" borderId="0" xfId="0" applyFont="1" applyFill="1" applyAlignment="1">
      <alignment/>
    </xf>
    <xf numFmtId="4" fontId="18" fillId="34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2" fillId="37" borderId="15" xfId="0" applyFont="1" applyFill="1" applyBorder="1" applyAlignment="1">
      <alignment/>
    </xf>
    <xf numFmtId="0" fontId="29" fillId="49" borderId="0" xfId="0" applyFont="1" applyFill="1" applyBorder="1" applyAlignment="1">
      <alignment/>
    </xf>
    <xf numFmtId="2" fontId="29" fillId="49" borderId="0" xfId="0" applyNumberFormat="1" applyFont="1" applyFill="1" applyBorder="1" applyAlignment="1">
      <alignment/>
    </xf>
    <xf numFmtId="0" fontId="37" fillId="49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16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 wrapText="1"/>
    </xf>
    <xf numFmtId="3" fontId="30" fillId="35" borderId="0" xfId="0" applyNumberFormat="1" applyFont="1" applyFill="1" applyBorder="1" applyAlignment="1">
      <alignment/>
    </xf>
    <xf numFmtId="3" fontId="31" fillId="34" borderId="0" xfId="0" applyNumberFormat="1" applyFont="1" applyFill="1" applyBorder="1" applyAlignment="1">
      <alignment/>
    </xf>
    <xf numFmtId="0" fontId="5" fillId="40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wrapText="1"/>
    </xf>
    <xf numFmtId="0" fontId="5" fillId="50" borderId="15" xfId="0" applyFont="1" applyFill="1" applyBorder="1" applyAlignment="1">
      <alignment wrapText="1"/>
    </xf>
    <xf numFmtId="0" fontId="5" fillId="50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7" borderId="79" xfId="0" applyFont="1" applyFill="1" applyBorder="1" applyAlignment="1">
      <alignment wrapText="1"/>
    </xf>
    <xf numFmtId="0" fontId="2" fillId="37" borderId="80" xfId="0" applyFont="1" applyFill="1" applyBorder="1" applyAlignment="1">
      <alignment wrapText="1"/>
    </xf>
    <xf numFmtId="9" fontId="31" fillId="34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7" fillId="37" borderId="10" xfId="0" applyFont="1" applyFill="1" applyBorder="1" applyAlignment="1">
      <alignment wrapText="1"/>
    </xf>
    <xf numFmtId="0" fontId="5" fillId="40" borderId="81" xfId="0" applyFont="1" applyFill="1" applyBorder="1" applyAlignment="1">
      <alignment vertical="top" wrapText="1"/>
    </xf>
    <xf numFmtId="0" fontId="5" fillId="40" borderId="15" xfId="0" applyFont="1" applyFill="1" applyBorder="1" applyAlignment="1">
      <alignment horizontal="center"/>
    </xf>
    <xf numFmtId="0" fontId="38" fillId="33" borderId="0" xfId="52" applyFont="1" applyFill="1" applyAlignment="1" applyProtection="1">
      <alignment/>
      <protection/>
    </xf>
    <xf numFmtId="0" fontId="39" fillId="33" borderId="0" xfId="52" applyFont="1" applyFill="1" applyAlignment="1" applyProtection="1">
      <alignment/>
      <protection/>
    </xf>
    <xf numFmtId="0" fontId="0" fillId="39" borderId="0" xfId="0" applyFill="1" applyAlignment="1">
      <alignment/>
    </xf>
    <xf numFmtId="0" fontId="40" fillId="43" borderId="0" xfId="0" applyFont="1" applyFill="1" applyAlignment="1">
      <alignment/>
    </xf>
    <xf numFmtId="0" fontId="0" fillId="43" borderId="0" xfId="0" applyFill="1" applyAlignment="1">
      <alignment/>
    </xf>
    <xf numFmtId="3" fontId="6" fillId="51" borderId="10" xfId="0" applyNumberFormat="1" applyFont="1" applyFill="1" applyBorder="1" applyAlignment="1" applyProtection="1">
      <alignment/>
      <protection locked="0"/>
    </xf>
    <xf numFmtId="0" fontId="5" fillId="51" borderId="10" xfId="0" applyFont="1" applyFill="1" applyBorder="1" applyAlignment="1" applyProtection="1">
      <alignment/>
      <protection locked="0"/>
    </xf>
    <xf numFmtId="9" fontId="5" fillId="51" borderId="10" xfId="0" applyNumberFormat="1" applyFont="1" applyFill="1" applyBorder="1" applyAlignment="1" applyProtection="1">
      <alignment horizontal="right"/>
      <protection locked="0"/>
    </xf>
    <xf numFmtId="3" fontId="5" fillId="36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3" fontId="5" fillId="36" borderId="15" xfId="0" applyNumberFormat="1" applyFont="1" applyFill="1" applyBorder="1" applyAlignment="1" applyProtection="1">
      <alignment/>
      <protection locked="0"/>
    </xf>
    <xf numFmtId="3" fontId="5" fillId="36" borderId="11" xfId="0" applyNumberFormat="1" applyFont="1" applyFill="1" applyBorder="1" applyAlignment="1" applyProtection="1">
      <alignment/>
      <protection locked="0"/>
    </xf>
    <xf numFmtId="3" fontId="5" fillId="36" borderId="19" xfId="0" applyNumberFormat="1" applyFont="1" applyFill="1" applyBorder="1" applyAlignment="1" applyProtection="1">
      <alignment/>
      <protection locked="0"/>
    </xf>
    <xf numFmtId="9" fontId="5" fillId="36" borderId="15" xfId="0" applyNumberFormat="1" applyFont="1" applyFill="1" applyBorder="1" applyAlignment="1" applyProtection="1">
      <alignment/>
      <protection locked="0"/>
    </xf>
    <xf numFmtId="9" fontId="20" fillId="36" borderId="15" xfId="0" applyNumberFormat="1" applyFont="1" applyFill="1" applyBorder="1" applyAlignment="1" applyProtection="1">
      <alignment/>
      <protection locked="0"/>
    </xf>
    <xf numFmtId="0" fontId="5" fillId="36" borderId="15" xfId="0" applyFont="1" applyFill="1" applyBorder="1" applyAlignment="1" applyProtection="1">
      <alignment/>
      <protection locked="0"/>
    </xf>
    <xf numFmtId="0" fontId="5" fillId="36" borderId="82" xfId="0" applyFont="1" applyFill="1" applyBorder="1" applyAlignment="1" applyProtection="1">
      <alignment/>
      <protection locked="0"/>
    </xf>
    <xf numFmtId="0" fontId="5" fillId="36" borderId="83" xfId="0" applyFont="1" applyFill="1" applyBorder="1" applyAlignment="1" applyProtection="1">
      <alignment/>
      <protection locked="0"/>
    </xf>
    <xf numFmtId="3" fontId="5" fillId="36" borderId="83" xfId="0" applyNumberFormat="1" applyFont="1" applyFill="1" applyBorder="1" applyAlignment="1" applyProtection="1">
      <alignment/>
      <protection locked="0"/>
    </xf>
    <xf numFmtId="3" fontId="5" fillId="36" borderId="84" xfId="0" applyNumberFormat="1" applyFont="1" applyFill="1" applyBorder="1" applyAlignment="1" applyProtection="1">
      <alignment/>
      <protection locked="0"/>
    </xf>
    <xf numFmtId="0" fontId="20" fillId="36" borderId="10" xfId="0" applyFont="1" applyFill="1" applyBorder="1" applyAlignment="1" applyProtection="1">
      <alignment/>
      <protection locked="0"/>
    </xf>
    <xf numFmtId="0" fontId="20" fillId="36" borderId="18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6" borderId="66" xfId="0" applyFont="1" applyFill="1" applyBorder="1" applyAlignment="1" applyProtection="1">
      <alignment/>
      <protection locked="0"/>
    </xf>
    <xf numFmtId="0" fontId="5" fillId="36" borderId="57" xfId="0" applyFont="1" applyFill="1" applyBorder="1" applyAlignment="1" applyProtection="1">
      <alignment/>
      <protection locked="0"/>
    </xf>
    <xf numFmtId="0" fontId="5" fillId="36" borderId="14" xfId="0" applyFont="1" applyFill="1" applyBorder="1" applyAlignment="1" applyProtection="1">
      <alignment/>
      <protection locked="0"/>
    </xf>
    <xf numFmtId="9" fontId="5" fillId="36" borderId="10" xfId="0" applyNumberFormat="1" applyFont="1" applyFill="1" applyBorder="1" applyAlignment="1" applyProtection="1">
      <alignment/>
      <protection locked="0"/>
    </xf>
    <xf numFmtId="9" fontId="5" fillId="36" borderId="18" xfId="0" applyNumberFormat="1" applyFont="1" applyFill="1" applyBorder="1" applyAlignment="1" applyProtection="1">
      <alignment/>
      <protection locked="0"/>
    </xf>
    <xf numFmtId="9" fontId="2" fillId="36" borderId="17" xfId="0" applyNumberFormat="1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 locked="0"/>
    </xf>
    <xf numFmtId="3" fontId="2" fillId="36" borderId="17" xfId="0" applyNumberFormat="1" applyFont="1" applyFill="1" applyBorder="1" applyAlignment="1" applyProtection="1">
      <alignment/>
      <protection locked="0"/>
    </xf>
    <xf numFmtId="9" fontId="2" fillId="36" borderId="85" xfId="0" applyNumberFormat="1" applyFont="1" applyFill="1" applyBorder="1" applyAlignment="1" applyProtection="1">
      <alignment/>
      <protection locked="0"/>
    </xf>
    <xf numFmtId="3" fontId="2" fillId="36" borderId="15" xfId="0" applyNumberFormat="1" applyFont="1" applyFill="1" applyBorder="1" applyAlignment="1" applyProtection="1">
      <alignment/>
      <protection locked="0"/>
    </xf>
    <xf numFmtId="3" fontId="2" fillId="36" borderId="86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9" fontId="2" fillId="36" borderId="10" xfId="0" applyNumberFormat="1" applyFont="1" applyFill="1" applyBorder="1" applyAlignment="1" applyProtection="1">
      <alignment/>
      <protection locked="0"/>
    </xf>
    <xf numFmtId="3" fontId="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4" fontId="2" fillId="36" borderId="18" xfId="0" applyNumberFormat="1" applyFont="1" applyFill="1" applyBorder="1" applyAlignment="1" applyProtection="1">
      <alignment/>
      <protection locked="0"/>
    </xf>
    <xf numFmtId="9" fontId="2" fillId="36" borderId="15" xfId="0" applyNumberFormat="1" applyFont="1" applyFill="1" applyBorder="1" applyAlignment="1" applyProtection="1">
      <alignment/>
      <protection locked="0"/>
    </xf>
    <xf numFmtId="1" fontId="2" fillId="36" borderId="15" xfId="0" applyNumberFormat="1" applyFont="1" applyFill="1" applyBorder="1" applyAlignment="1" applyProtection="1">
      <alignment/>
      <protection locked="0"/>
    </xf>
    <xf numFmtId="0" fontId="41" fillId="36" borderId="0" xfId="0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42" fillId="43" borderId="0" xfId="0" applyFont="1" applyFill="1" applyAlignment="1">
      <alignment/>
    </xf>
    <xf numFmtId="0" fontId="43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31" fillId="52" borderId="0" xfId="0" applyFont="1" applyFill="1" applyBorder="1" applyAlignment="1">
      <alignment/>
    </xf>
    <xf numFmtId="3" fontId="31" fillId="34" borderId="0" xfId="0" applyNumberFormat="1" applyFont="1" applyFill="1" applyBorder="1" applyAlignment="1">
      <alignment horizontal="center" vertical="center" wrapText="1"/>
    </xf>
    <xf numFmtId="10" fontId="31" fillId="34" borderId="0" xfId="0" applyNumberFormat="1" applyFont="1" applyFill="1" applyBorder="1" applyAlignment="1">
      <alignment horizontal="center" vertical="center" wrapText="1"/>
    </xf>
    <xf numFmtId="166" fontId="29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3" fontId="31" fillId="35" borderId="0" xfId="0" applyNumberFormat="1" applyFont="1" applyFill="1" applyBorder="1" applyAlignment="1">
      <alignment/>
    </xf>
    <xf numFmtId="9" fontId="31" fillId="35" borderId="0" xfId="0" applyNumberFormat="1" applyFont="1" applyFill="1" applyBorder="1" applyAlignment="1">
      <alignment/>
    </xf>
    <xf numFmtId="9" fontId="31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3" fontId="30" fillId="33" borderId="0" xfId="0" applyNumberFormat="1" applyFont="1" applyFill="1" applyAlignment="1">
      <alignment/>
    </xf>
    <xf numFmtId="49" fontId="31" fillId="34" borderId="0" xfId="0" applyNumberFormat="1" applyFont="1" applyFill="1" applyBorder="1" applyAlignment="1">
      <alignment horizontal="left" wrapText="1"/>
    </xf>
    <xf numFmtId="49" fontId="5" fillId="37" borderId="51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5" fillId="40" borderId="19" xfId="0" applyFont="1" applyFill="1" applyBorder="1" applyAlignment="1">
      <alignment horizontal="center" vertical="center"/>
    </xf>
    <xf numFmtId="3" fontId="45" fillId="53" borderId="18" xfId="0" applyNumberFormat="1" applyFont="1" applyFill="1" applyBorder="1" applyAlignment="1">
      <alignment horizontal="center"/>
    </xf>
    <xf numFmtId="3" fontId="46" fillId="53" borderId="18" xfId="0" applyNumberFormat="1" applyFont="1" applyFill="1" applyBorder="1" applyAlignment="1">
      <alignment horizontal="center"/>
    </xf>
    <xf numFmtId="3" fontId="45" fillId="53" borderId="13" xfId="0" applyNumberFormat="1" applyFont="1" applyFill="1" applyBorder="1" applyAlignment="1" applyProtection="1">
      <alignment/>
      <protection locked="0"/>
    </xf>
    <xf numFmtId="3" fontId="45" fillId="53" borderId="17" xfId="0" applyNumberFormat="1" applyFont="1" applyFill="1" applyBorder="1" applyAlignment="1" applyProtection="1">
      <alignment/>
      <protection locked="0"/>
    </xf>
    <xf numFmtId="3" fontId="5" fillId="36" borderId="17" xfId="0" applyNumberFormat="1" applyFont="1" applyFill="1" applyBorder="1" applyAlignment="1" applyProtection="1">
      <alignment/>
      <protection locked="0"/>
    </xf>
    <xf numFmtId="0" fontId="5" fillId="40" borderId="87" xfId="0" applyFont="1" applyFill="1" applyBorder="1" applyAlignment="1">
      <alignment horizontal="center"/>
    </xf>
    <xf numFmtId="0" fontId="5" fillId="40" borderId="49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7" borderId="88" xfId="0" applyFont="1" applyFill="1" applyBorder="1" applyAlignment="1">
      <alignment horizontal="left" vertical="top" wrapText="1"/>
    </xf>
    <xf numFmtId="4" fontId="2" fillId="36" borderId="71" xfId="0" applyNumberFormat="1" applyFont="1" applyFill="1" applyBorder="1" applyAlignment="1">
      <alignment horizontal="left"/>
    </xf>
    <xf numFmtId="0" fontId="5" fillId="37" borderId="69" xfId="0" applyFont="1" applyFill="1" applyBorder="1" applyAlignment="1">
      <alignment horizontal="left" vertical="center" wrapText="1"/>
    </xf>
    <xf numFmtId="3" fontId="48" fillId="44" borderId="89" xfId="0" applyNumberFormat="1" applyFont="1" applyFill="1" applyBorder="1" applyAlignment="1">
      <alignment/>
    </xf>
    <xf numFmtId="49" fontId="5" fillId="37" borderId="10" xfId="0" applyNumberFormat="1" applyFont="1" applyFill="1" applyBorder="1" applyAlignment="1">
      <alignment wrapText="1"/>
    </xf>
    <xf numFmtId="3" fontId="5" fillId="36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9" fontId="5" fillId="37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29" fillId="34" borderId="0" xfId="0" applyNumberFormat="1" applyFont="1" applyFill="1" applyBorder="1" applyAlignment="1">
      <alignment horizontal="center"/>
    </xf>
    <xf numFmtId="3" fontId="5" fillId="5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49" fontId="20" fillId="34" borderId="14" xfId="0" applyNumberFormat="1" applyFont="1" applyFill="1" applyBorder="1" applyAlignment="1">
      <alignment/>
    </xf>
    <xf numFmtId="3" fontId="20" fillId="34" borderId="14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8" fillId="40" borderId="86" xfId="44" applyFont="1" applyFill="1" applyBorder="1" applyAlignment="1">
      <alignment horizontal="center"/>
    </xf>
    <xf numFmtId="164" fontId="8" fillId="40" borderId="90" xfId="44" applyFont="1" applyFill="1" applyBorder="1" applyAlignment="1">
      <alignment horizontal="center"/>
    </xf>
    <xf numFmtId="164" fontId="8" fillId="40" borderId="53" xfId="44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00FFFF"/>
      <rgbColor rgb="003366FF"/>
      <rgbColor rgb="00C0C0C0"/>
      <rgbColor rgb="00CCFFFF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Datoriilor</a:t>
            </a:r>
          </a:p>
        </c:rich>
      </c:tx>
      <c:layout>
        <c:manualLayout>
          <c:xMode val="factor"/>
          <c:yMode val="factor"/>
          <c:x val="-0.0015"/>
          <c:y val="-0.020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81"/>
          <c:y val="0.0735"/>
          <c:w val="0.8712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Rate!$C$66:$G$66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Rate!$C$69:$G$69</c:f>
              <c:numCache>
                <c:ptCount val="5"/>
                <c:pt idx="0">
                  <c:v>0.3435243335738221</c:v>
                </c:pt>
                <c:pt idx="1">
                  <c:v>0.2054469571248125</c:v>
                </c:pt>
                <c:pt idx="2">
                  <c:v>0.18930125302227394</c:v>
                </c:pt>
                <c:pt idx="3">
                  <c:v>0.02285417293962829</c:v>
                </c:pt>
                <c:pt idx="4">
                  <c:v>0.2142963024558102</c:v>
                </c:pt>
              </c:numCache>
            </c:numRef>
          </c:val>
          <c:shape val="box"/>
        </c:ser>
        <c:shape val="box"/>
        <c:axId val="32030495"/>
        <c:axId val="19839000"/>
      </c:bar3D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3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Ratele de Lichiditate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2425"/>
          <c:w val="0.6117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Rate!$B$11</c:f>
              <c:strCache>
                <c:ptCount val="1"/>
                <c:pt idx="0">
                  <c:v>LICHIDITATE GLOBALA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Rate!$C$9:$G$9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Rate!$C$11:$G$11</c:f>
              <c:numCache>
                <c:ptCount val="5"/>
                <c:pt idx="0">
                  <c:v>3.147765362366438</c:v>
                </c:pt>
                <c:pt idx="1">
                  <c:v>3.489519099866502</c:v>
                </c:pt>
                <c:pt idx="2">
                  <c:v>1.519737102085565</c:v>
                </c:pt>
                <c:pt idx="3">
                  <c:v>10.094954217057994</c:v>
                </c:pt>
                <c:pt idx="4">
                  <c:v>1.4387890732825603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Rate!$B$12</c:f>
              <c:strCache>
                <c:ptCount val="1"/>
                <c:pt idx="0">
                  <c:v>LICHIDITATEA IMEDIATA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Rate!$C$9:$G$9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Rate!$C$12:$G$12</c:f>
              <c:numCache>
                <c:ptCount val="5"/>
                <c:pt idx="0">
                  <c:v>2.2727362158747337</c:v>
                </c:pt>
                <c:pt idx="1">
                  <c:v>2.3887747456193025</c:v>
                </c:pt>
                <c:pt idx="2">
                  <c:v>1.099696073809454</c:v>
                </c:pt>
                <c:pt idx="3">
                  <c:v>6.681399113289978</c:v>
                </c:pt>
                <c:pt idx="4">
                  <c:v>1.1217136862846802</c:v>
                </c:pt>
              </c:numCache>
            </c:numRef>
          </c:val>
          <c:shape val="box"/>
        </c:ser>
        <c:shape val="box"/>
        <c:axId val="30882601"/>
        <c:axId val="9507954"/>
      </c:bar3DChart>
      <c:catAx>
        <c:axId val="3088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4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.503"/>
          <c:w val="0.297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de acoperire a capitalului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5"/>
      <c:hPercent val="49"/>
      <c:rotY val="24"/>
      <c:depthPercent val="100"/>
      <c:rAngAx val="1"/>
    </c:view3D>
    <c:plotArea>
      <c:layout>
        <c:manualLayout>
          <c:xMode val="edge"/>
          <c:yMode val="edge"/>
          <c:x val="0.0705"/>
          <c:y val="0.116"/>
          <c:w val="0.9135"/>
          <c:h val="0.7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Rate!$C$84:$G$84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Rate!$C$87:$G$87</c:f>
              <c:numCache>
                <c:ptCount val="5"/>
                <c:pt idx="0">
                  <c:v>0.5232857075174655</c:v>
                </c:pt>
                <c:pt idx="1">
                  <c:v>0.2585692156956288</c:v>
                </c:pt>
                <c:pt idx="2">
                  <c:v>0.23350381843808987</c:v>
                </c:pt>
                <c:pt idx="3">
                  <c:v>0.02338870238885672</c:v>
                </c:pt>
                <c:pt idx="4">
                  <c:v>0.27274442404384597</c:v>
                </c:pt>
              </c:numCache>
            </c:numRef>
          </c:val>
          <c:shape val="box"/>
        </c:ser>
        <c:shape val="box"/>
        <c:axId val="44333273"/>
        <c:axId val="63455138"/>
      </c:bar3D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Marja profitului din exploatare</a:t>
            </a:r>
          </a:p>
        </c:rich>
      </c:tx>
      <c:layout>
        <c:manualLayout>
          <c:xMode val="factor"/>
          <c:yMode val="factor"/>
          <c:x val="0.01675"/>
          <c:y val="-0.0017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08425"/>
          <c:w val="0.924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Rate!$C$144:$G$144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Rate!$C$147:$G$147</c:f>
              <c:numCache>
                <c:ptCount val="5"/>
                <c:pt idx="0">
                  <c:v>25.237657934510523</c:v>
                </c:pt>
                <c:pt idx="1">
                  <c:v>21.797187990099648</c:v>
                </c:pt>
                <c:pt idx="2">
                  <c:v>22.113110128528266</c:v>
                </c:pt>
                <c:pt idx="3">
                  <c:v>22.38322439131329</c:v>
                </c:pt>
                <c:pt idx="4">
                  <c:v>22.562550446768512</c:v>
                </c:pt>
              </c:numCache>
            </c:numRef>
          </c:val>
          <c:shape val="box"/>
        </c:ser>
        <c:shape val="box"/>
        <c:axId val="34225331"/>
        <c:axId val="39592524"/>
      </c:bar3D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39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Marja profitului net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09325"/>
          <c:w val="0.9157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Rate!$C$151:$G$151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Rate!$C$154:$G$154</c:f>
              <c:numCache>
                <c:ptCount val="5"/>
                <c:pt idx="0">
                  <c:v>17.675414978656683</c:v>
                </c:pt>
                <c:pt idx="1">
                  <c:v>16.21087101976948</c:v>
                </c:pt>
                <c:pt idx="2">
                  <c:v>17.8718911193902</c:v>
                </c:pt>
                <c:pt idx="3">
                  <c:v>18.906783168078615</c:v>
                </c:pt>
                <c:pt idx="4">
                  <c:v>18.95254237528555</c:v>
                </c:pt>
              </c:numCache>
            </c:numRef>
          </c:val>
          <c:shape val="box"/>
        </c:ser>
        <c:shape val="box"/>
        <c:axId val="20788397"/>
        <c:axId val="52877846"/>
      </c:bar3D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39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Rentabilitatea capitalului propriu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6"/>
          <c:y val="0.1165"/>
          <c:w val="0.8997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Rate!$C$158:$G$158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Rate!$C$161:$G$161</c:f>
              <c:numCache>
                <c:ptCount val="5"/>
                <c:pt idx="0">
                  <c:v>32.948480782821036</c:v>
                </c:pt>
                <c:pt idx="1">
                  <c:v>25.428530050872716</c:v>
                </c:pt>
                <c:pt idx="2">
                  <c:v>27.541413939611846</c:v>
                </c:pt>
                <c:pt idx="3">
                  <c:v>23.717052336352058</c:v>
                </c:pt>
                <c:pt idx="4">
                  <c:v>24.740017677073237</c:v>
                </c:pt>
              </c:numCache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36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Rentabilitatea activelor totale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975"/>
          <c:y val="0.10325"/>
          <c:w val="0.875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Rate!$C$166:$G$166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Rate!$C$169:$G$169</c:f>
              <c:numCache>
                <c:ptCount val="5"/>
                <c:pt idx="0">
                  <c:v>30.98374228880135</c:v>
                </c:pt>
                <c:pt idx="1">
                  <c:v>27.212230230827654</c:v>
                </c:pt>
                <c:pt idx="2">
                  <c:v>27.757850842935596</c:v>
                </c:pt>
                <c:pt idx="3">
                  <c:v>27.63763518140167</c:v>
                </c:pt>
                <c:pt idx="4">
                  <c:v>23.14086115022031</c:v>
                </c:pt>
              </c:numCache>
            </c:numRef>
          </c:val>
          <c:shape val="box"/>
        </c:ser>
        <c:shape val="box"/>
        <c:axId val="27461889"/>
        <c:axId val="45830410"/>
      </c:bar3D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36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comparativă a Profitului net, Cash Flow-ului din exploatare, şi Cash Flow-ului net înainte de plata dividendelor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6"/>
      <c:hPercent val="57"/>
      <c:rotY val="44"/>
      <c:depthPercent val="100"/>
      <c:rAngAx val="1"/>
    </c:view3D>
    <c:plotArea>
      <c:layout>
        <c:manualLayout>
          <c:xMode val="edge"/>
          <c:yMode val="edge"/>
          <c:x val="0.29875"/>
          <c:y val="0.22925"/>
          <c:w val="0.5375"/>
          <c:h val="0.44725"/>
        </c:manualLayout>
      </c:layout>
      <c:bar3DChart>
        <c:barDir val="col"/>
        <c:grouping val="clustered"/>
        <c:varyColors val="0"/>
        <c:ser>
          <c:idx val="0"/>
          <c:order val="0"/>
          <c:tx>
            <c:v>Profitul net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Grafice!$B$527:$F$527</c:f>
              <c:numCache/>
            </c:numRef>
          </c:val>
          <c:shape val="box"/>
        </c:ser>
        <c:ser>
          <c:idx val="1"/>
          <c:order val="1"/>
          <c:tx>
            <c:v>Cash Flow din exploatare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Grafice!$B$528:$F$528</c:f>
              <c:numCache/>
            </c:numRef>
          </c:val>
          <c:shape val="box"/>
        </c:ser>
        <c:ser>
          <c:idx val="2"/>
          <c:order val="2"/>
          <c:tx>
            <c:v>Cash Flow net înainte de plata dividendelor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Grafice!$B$529:$F$529</c:f>
              <c:numCache/>
            </c:numRef>
          </c:val>
          <c:shape val="box"/>
        </c:ser>
        <c:shape val="box"/>
        <c:axId val="9820507"/>
        <c:axId val="21275700"/>
      </c:bar3D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855"/>
              <c:y val="0.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21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11025"/>
          <c:w val="0.1605"/>
          <c:h val="0.3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comparativă a Cifrei de Afaceri şi a Rezultatului Net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15625"/>
          <c:y val="0.21025"/>
          <c:w val="0.66025"/>
          <c:h val="0.63425"/>
        </c:manualLayout>
      </c:layout>
      <c:bar3DChart>
        <c:barDir val="col"/>
        <c:grouping val="clustered"/>
        <c:varyColors val="0"/>
        <c:ser>
          <c:idx val="0"/>
          <c:order val="0"/>
          <c:tx>
            <c:v>Cifra de afaceri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 de Rezultat'!$D$51:$H$51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'Cont de Rezultat'!$D$55:$H$55</c:f>
              <c:numCache>
                <c:ptCount val="5"/>
                <c:pt idx="0">
                  <c:v>26376492.11072</c:v>
                </c:pt>
                <c:pt idx="1">
                  <c:v>27426104.452934403</c:v>
                </c:pt>
                <c:pt idx="2">
                  <c:v>28522813.16699309</c:v>
                </c:pt>
                <c:pt idx="3">
                  <c:v>30436326.661582954</c:v>
                </c:pt>
                <c:pt idx="4">
                  <c:v>31672452.787127115</c:v>
                </c:pt>
              </c:numCache>
            </c:numRef>
          </c:val>
          <c:shape val="box"/>
        </c:ser>
        <c:ser>
          <c:idx val="1"/>
          <c:order val="1"/>
          <c:tx>
            <c:v>Rezultatul net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 de Rezultat'!$D$51:$H$51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'Cont de Rezultat'!$D$76:$H$76</c:f>
              <c:numCache>
                <c:ptCount val="5"/>
                <c:pt idx="0">
                  <c:v>4662154.437382401</c:v>
                </c:pt>
                <c:pt idx="1">
                  <c:v>4446010.41861245</c:v>
                </c:pt>
                <c:pt idx="2">
                  <c:v>5097566.113392096</c:v>
                </c:pt>
                <c:pt idx="3">
                  <c:v>5754530.286233589</c:v>
                </c:pt>
                <c:pt idx="4">
                  <c:v>6002735.035772575</c:v>
                </c:pt>
              </c:numCache>
            </c:numRef>
          </c:val>
          <c:shape val="box"/>
        </c:ser>
        <c:shape val="box"/>
        <c:axId val="57263573"/>
        <c:axId val="45610110"/>
      </c:bar3D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73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1465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46"/>
          <c:w val="0.165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Cash Flow-ului din exploatare şi a Serviciului datoriei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16725"/>
          <c:y val="0.16125"/>
          <c:w val="0.6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Fluxul de numerar din exploatare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'Flux de Numerar'!$C$58:$G$58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'Flux de Numerar'!$C$60:$G$60</c:f>
              <c:numCache>
                <c:ptCount val="5"/>
                <c:pt idx="0">
                  <c:v>5728465.896849801</c:v>
                </c:pt>
                <c:pt idx="1">
                  <c:v>4825848.072865499</c:v>
                </c:pt>
                <c:pt idx="2">
                  <c:v>5719868.47443354</c:v>
                </c:pt>
                <c:pt idx="3">
                  <c:v>6124044.6256703725</c:v>
                </c:pt>
                <c:pt idx="4">
                  <c:v>6381528.308336405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'Flux de Numerar'!$B$81</c:f>
              <c:strCache>
                <c:ptCount val="1"/>
                <c:pt idx="0">
                  <c:v>Serviciul datoriei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'Flux de Numerar'!$C$58:$G$58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'Flux de Numerar'!$C$81:$G$81</c:f>
              <c:numCache>
                <c:ptCount val="5"/>
                <c:pt idx="0">
                  <c:v>2628125</c:v>
                </c:pt>
                <c:pt idx="1">
                  <c:v>3695250</c:v>
                </c:pt>
                <c:pt idx="2">
                  <c:v>3268750</c:v>
                </c:pt>
                <c:pt idx="3">
                  <c:v>12000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795"/>
              <c:y val="0.1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16275"/>
              <c:y val="0.08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055"/>
          <c:w val="0.22075"/>
          <c:h val="0.2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152400</xdr:rowOff>
    </xdr:from>
    <xdr:to>
      <xdr:col>0</xdr:col>
      <xdr:colOff>38100</xdr:colOff>
      <xdr:row>75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2324100"/>
          <a:ext cx="0" cy="1012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71</xdr:row>
      <xdr:rowOff>152400</xdr:rowOff>
    </xdr:from>
    <xdr:to>
      <xdr:col>2</xdr:col>
      <xdr:colOff>28575</xdr:colOff>
      <xdr:row>73</xdr:row>
      <xdr:rowOff>9525</xdr:rowOff>
    </xdr:to>
    <xdr:sp>
      <xdr:nvSpPr>
        <xdr:cNvPr id="1" name="Line 1"/>
        <xdr:cNvSpPr>
          <a:spLocks/>
        </xdr:cNvSpPr>
      </xdr:nvSpPr>
      <xdr:spPr>
        <a:xfrm>
          <a:off x="600075" y="12782550"/>
          <a:ext cx="169545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113</xdr:row>
      <xdr:rowOff>104775</xdr:rowOff>
    </xdr:from>
    <xdr:to>
      <xdr:col>11</xdr:col>
      <xdr:colOff>476250</xdr:colOff>
      <xdr:row>140</xdr:row>
      <xdr:rowOff>57150</xdr:rowOff>
    </xdr:to>
    <xdr:graphicFrame>
      <xdr:nvGraphicFramePr>
        <xdr:cNvPr id="1" name="Chart 1"/>
        <xdr:cNvGraphicFramePr/>
      </xdr:nvGraphicFramePr>
      <xdr:xfrm>
        <a:off x="533400" y="18402300"/>
        <a:ext cx="6924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185</xdr:row>
      <xdr:rowOff>142875</xdr:rowOff>
    </xdr:from>
    <xdr:to>
      <xdr:col>11</xdr:col>
      <xdr:colOff>504825</xdr:colOff>
      <xdr:row>209</xdr:row>
      <xdr:rowOff>95250</xdr:rowOff>
    </xdr:to>
    <xdr:graphicFrame>
      <xdr:nvGraphicFramePr>
        <xdr:cNvPr id="2" name="Chart 2"/>
        <xdr:cNvGraphicFramePr/>
      </xdr:nvGraphicFramePr>
      <xdr:xfrm>
        <a:off x="590550" y="30099000"/>
        <a:ext cx="68961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253</xdr:row>
      <xdr:rowOff>85725</xdr:rowOff>
    </xdr:from>
    <xdr:to>
      <xdr:col>11</xdr:col>
      <xdr:colOff>504825</xdr:colOff>
      <xdr:row>285</xdr:row>
      <xdr:rowOff>114300</xdr:rowOff>
    </xdr:to>
    <xdr:graphicFrame>
      <xdr:nvGraphicFramePr>
        <xdr:cNvPr id="3" name="Chart 3"/>
        <xdr:cNvGraphicFramePr/>
      </xdr:nvGraphicFramePr>
      <xdr:xfrm>
        <a:off x="542925" y="41052750"/>
        <a:ext cx="694372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571500</xdr:colOff>
      <xdr:row>329</xdr:row>
      <xdr:rowOff>57150</xdr:rowOff>
    </xdr:from>
    <xdr:to>
      <xdr:col>11</xdr:col>
      <xdr:colOff>504825</xdr:colOff>
      <xdr:row>355</xdr:row>
      <xdr:rowOff>95250</xdr:rowOff>
    </xdr:to>
    <xdr:graphicFrame>
      <xdr:nvGraphicFramePr>
        <xdr:cNvPr id="4" name="Chart 4"/>
        <xdr:cNvGraphicFramePr/>
      </xdr:nvGraphicFramePr>
      <xdr:xfrm>
        <a:off x="571500" y="53330475"/>
        <a:ext cx="69151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401</xdr:row>
      <xdr:rowOff>57150</xdr:rowOff>
    </xdr:from>
    <xdr:to>
      <xdr:col>11</xdr:col>
      <xdr:colOff>381000</xdr:colOff>
      <xdr:row>427</xdr:row>
      <xdr:rowOff>0</xdr:rowOff>
    </xdr:to>
    <xdr:graphicFrame>
      <xdr:nvGraphicFramePr>
        <xdr:cNvPr id="5" name="Chart 5"/>
        <xdr:cNvGraphicFramePr/>
      </xdr:nvGraphicFramePr>
      <xdr:xfrm>
        <a:off x="514350" y="64989075"/>
        <a:ext cx="6848475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571500</xdr:colOff>
      <xdr:row>474</xdr:row>
      <xdr:rowOff>95250</xdr:rowOff>
    </xdr:from>
    <xdr:to>
      <xdr:col>11</xdr:col>
      <xdr:colOff>438150</xdr:colOff>
      <xdr:row>500</xdr:row>
      <xdr:rowOff>9525</xdr:rowOff>
    </xdr:to>
    <xdr:graphicFrame>
      <xdr:nvGraphicFramePr>
        <xdr:cNvPr id="6" name="Chart 6"/>
        <xdr:cNvGraphicFramePr/>
      </xdr:nvGraphicFramePr>
      <xdr:xfrm>
        <a:off x="571500" y="76847700"/>
        <a:ext cx="6848475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543</xdr:row>
      <xdr:rowOff>133350</xdr:rowOff>
    </xdr:from>
    <xdr:to>
      <xdr:col>13</xdr:col>
      <xdr:colOff>342900</xdr:colOff>
      <xdr:row>576</xdr:row>
      <xdr:rowOff>57150</xdr:rowOff>
    </xdr:to>
    <xdr:graphicFrame>
      <xdr:nvGraphicFramePr>
        <xdr:cNvPr id="7" name="Chart 7"/>
        <xdr:cNvGraphicFramePr/>
      </xdr:nvGraphicFramePr>
      <xdr:xfrm>
        <a:off x="95250" y="88058625"/>
        <a:ext cx="8448675" cy="526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438150</xdr:colOff>
      <xdr:row>616</xdr:row>
      <xdr:rowOff>133350</xdr:rowOff>
    </xdr:from>
    <xdr:to>
      <xdr:col>13</xdr:col>
      <xdr:colOff>390525</xdr:colOff>
      <xdr:row>646</xdr:row>
      <xdr:rowOff>19050</xdr:rowOff>
    </xdr:to>
    <xdr:graphicFrame>
      <xdr:nvGraphicFramePr>
        <xdr:cNvPr id="8" name="Chart 8"/>
        <xdr:cNvGraphicFramePr/>
      </xdr:nvGraphicFramePr>
      <xdr:xfrm>
        <a:off x="438150" y="99879150"/>
        <a:ext cx="8153400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552450</xdr:colOff>
      <xdr:row>690</xdr:row>
      <xdr:rowOff>0</xdr:rowOff>
    </xdr:from>
    <xdr:to>
      <xdr:col>13</xdr:col>
      <xdr:colOff>333375</xdr:colOff>
      <xdr:row>716</xdr:row>
      <xdr:rowOff>57150</xdr:rowOff>
    </xdr:to>
    <xdr:graphicFrame>
      <xdr:nvGraphicFramePr>
        <xdr:cNvPr id="9" name="Chart 9"/>
        <xdr:cNvGraphicFramePr/>
      </xdr:nvGraphicFramePr>
      <xdr:xfrm>
        <a:off x="552450" y="111728250"/>
        <a:ext cx="798195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581025</xdr:colOff>
      <xdr:row>38</xdr:row>
      <xdr:rowOff>66675</xdr:rowOff>
    </xdr:from>
    <xdr:to>
      <xdr:col>12</xdr:col>
      <xdr:colOff>28575</xdr:colOff>
      <xdr:row>67</xdr:row>
      <xdr:rowOff>38100</xdr:rowOff>
    </xdr:to>
    <xdr:graphicFrame>
      <xdr:nvGraphicFramePr>
        <xdr:cNvPr id="10" name="Chart 41"/>
        <xdr:cNvGraphicFramePr/>
      </xdr:nvGraphicFramePr>
      <xdr:xfrm>
        <a:off x="581025" y="6219825"/>
        <a:ext cx="7038975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elpdoc.doc#I" TargetMode="External" /><Relationship Id="rId2" Type="http://schemas.openxmlformats.org/officeDocument/2006/relationships/hyperlink" Target="helpdoc.doc#II" TargetMode="External" /><Relationship Id="rId3" Type="http://schemas.openxmlformats.org/officeDocument/2006/relationships/hyperlink" Target="helpdoc.doc#III" TargetMode="External" /><Relationship Id="rId4" Type="http://schemas.openxmlformats.org/officeDocument/2006/relationships/hyperlink" Target="helpdoc.doc#IIIb" TargetMode="External" /><Relationship Id="rId5" Type="http://schemas.openxmlformats.org/officeDocument/2006/relationships/hyperlink" Target="helpdoc.doc#IV" TargetMode="External" /><Relationship Id="rId6" Type="http://schemas.openxmlformats.org/officeDocument/2006/relationships/hyperlink" Target="helpdoc.doc#IVb" TargetMode="External" /><Relationship Id="rId7" Type="http://schemas.openxmlformats.org/officeDocument/2006/relationships/hyperlink" Target="helpdoc.doc#V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O213"/>
  <sheetViews>
    <sheetView showGridLines="0" showRowColHeaders="0" tabSelected="1" zoomScalePageLayoutView="0" workbookViewId="0" topLeftCell="A1">
      <selection activeCell="C30" sqref="C30"/>
    </sheetView>
  </sheetViews>
  <sheetFormatPr defaultColWidth="8.8515625" defaultRowHeight="12.75"/>
  <cols>
    <col min="1" max="1" width="6.00390625" style="3" customWidth="1"/>
    <col min="2" max="2" width="39.57421875" style="3" customWidth="1"/>
    <col min="3" max="3" width="20.57421875" style="3" customWidth="1"/>
    <col min="4" max="4" width="14.8515625" style="3" customWidth="1"/>
    <col min="5" max="5" width="12.7109375" style="3" customWidth="1"/>
    <col min="6" max="6" width="11.7109375" style="3" customWidth="1"/>
    <col min="7" max="7" width="12.57421875" style="3" customWidth="1"/>
    <col min="8" max="9" width="8.8515625" style="3" customWidth="1"/>
    <col min="10" max="10" width="10.140625" style="3" customWidth="1"/>
    <col min="11" max="11" width="10.421875" style="3" customWidth="1"/>
    <col min="12" max="12" width="11.00390625" style="3" customWidth="1"/>
    <col min="13" max="16384" width="8.8515625" style="3" customWidth="1"/>
  </cols>
  <sheetData>
    <row r="1" ht="12.75"/>
    <row r="2" ht="12.75"/>
    <row r="3" spans="3:6" ht="26.25">
      <c r="C3" s="435" t="s">
        <v>320</v>
      </c>
      <c r="D3" s="391"/>
      <c r="E3" s="391"/>
      <c r="F3" s="391"/>
    </row>
    <row r="4" ht="12.75"/>
    <row r="5" ht="12.75"/>
    <row r="6" ht="12.75"/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spans="2:7" ht="12.75">
      <c r="B12" s="7"/>
      <c r="G12" s="7"/>
    </row>
    <row r="13" ht="12.75">
      <c r="B13" s="7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spans="2:6" ht="12.75">
      <c r="B21" s="54"/>
      <c r="C21" s="55"/>
      <c r="D21" s="55"/>
      <c r="E21" s="55"/>
      <c r="F21" s="55"/>
    </row>
    <row r="22" spans="2:6" ht="18">
      <c r="B22" s="56" t="s">
        <v>283</v>
      </c>
      <c r="C22" s="55"/>
      <c r="D22" s="55"/>
      <c r="E22" s="55"/>
      <c r="F22" s="55"/>
    </row>
    <row r="23" ht="12.75"/>
    <row r="24" spans="1:12" ht="20.25">
      <c r="A24" s="6"/>
      <c r="B24" s="9"/>
      <c r="C24" s="5"/>
      <c r="D24" s="6"/>
      <c r="E24" s="6"/>
      <c r="F24" s="388" t="s">
        <v>317</v>
      </c>
      <c r="J24" s="2"/>
      <c r="K24" s="2"/>
      <c r="L24" s="2"/>
    </row>
    <row r="25" spans="1:12" ht="12.75">
      <c r="A25" s="9"/>
      <c r="B25" s="10"/>
      <c r="C25" s="4"/>
      <c r="D25" s="2"/>
      <c r="E25" s="6"/>
      <c r="J25" s="2"/>
      <c r="K25" s="2"/>
      <c r="L25" s="2"/>
    </row>
    <row r="26" spans="1:12" ht="12.75">
      <c r="A26" s="6"/>
      <c r="B26" s="358" t="s">
        <v>293</v>
      </c>
      <c r="C26" s="392">
        <v>7500000</v>
      </c>
      <c r="D26" s="6"/>
      <c r="J26" s="2"/>
      <c r="K26" s="2"/>
      <c r="L26" s="2"/>
    </row>
    <row r="27" spans="1:12" ht="12.75">
      <c r="A27" s="6"/>
      <c r="B27" s="358" t="s">
        <v>300</v>
      </c>
      <c r="C27" s="393">
        <v>3</v>
      </c>
      <c r="D27" s="12" t="str">
        <f>IF(C27&lt;=5," ","Durata creditului este maxim 5 ani")</f>
        <v> </v>
      </c>
      <c r="J27" s="2"/>
      <c r="K27" s="2"/>
      <c r="L27" s="2"/>
    </row>
    <row r="28" spans="1:12" ht="12.75">
      <c r="A28" s="6"/>
      <c r="B28" s="358" t="s">
        <v>328</v>
      </c>
      <c r="C28" s="393">
        <v>6</v>
      </c>
      <c r="D28" s="12" t="str">
        <f>IF(C28&lt;=60," ","Perioada de gratie este maxim 59 luni")</f>
        <v> </v>
      </c>
      <c r="J28" s="2"/>
      <c r="K28" s="2"/>
      <c r="L28" s="2"/>
    </row>
    <row r="29" spans="1:12" ht="12.75">
      <c r="A29" s="6"/>
      <c r="B29" s="359" t="s">
        <v>294</v>
      </c>
      <c r="C29" s="394">
        <v>0.15</v>
      </c>
      <c r="D29" s="12" t="str">
        <f>IF(C29&lt;=1," ","Rata dobanzii trebuie sa fie  de forma XX%")</f>
        <v> </v>
      </c>
      <c r="J29" s="2"/>
      <c r="K29" s="2"/>
      <c r="L29" s="2"/>
    </row>
    <row r="30" spans="1:12" ht="12.75">
      <c r="A30" s="6"/>
      <c r="B30" s="6"/>
      <c r="C30" s="5"/>
      <c r="D30" s="6"/>
      <c r="E30" s="6"/>
      <c r="J30" s="2"/>
      <c r="K30" s="2"/>
      <c r="L30" s="2"/>
    </row>
    <row r="31" spans="1:12" ht="12.75">
      <c r="A31" s="6"/>
      <c r="B31" s="6"/>
      <c r="C31" s="5"/>
      <c r="D31" s="6"/>
      <c r="E31" s="6"/>
      <c r="J31" s="2"/>
      <c r="K31" s="2"/>
      <c r="L31" s="2"/>
    </row>
    <row r="32" spans="1:12" ht="12.75">
      <c r="A32" s="6"/>
      <c r="B32" s="6"/>
      <c r="C32" s="5"/>
      <c r="D32" s="6"/>
      <c r="E32" s="6"/>
      <c r="J32" s="2"/>
      <c r="K32" s="2"/>
      <c r="L32" s="2"/>
    </row>
    <row r="33" spans="1:12" ht="12.75">
      <c r="A33" s="6"/>
      <c r="B33" s="6"/>
      <c r="C33" s="5"/>
      <c r="D33" s="6"/>
      <c r="E33" s="6"/>
      <c r="J33" s="2"/>
      <c r="K33" s="2"/>
      <c r="L33" s="2"/>
    </row>
    <row r="34" spans="1:12" ht="12.75">
      <c r="A34" s="6"/>
      <c r="B34" s="6"/>
      <c r="C34" s="5"/>
      <c r="D34" s="6"/>
      <c r="E34" s="6"/>
      <c r="J34" s="2"/>
      <c r="K34" s="2"/>
      <c r="L34" s="2"/>
    </row>
    <row r="35" spans="1:12" ht="12.75">
      <c r="A35" s="6"/>
      <c r="B35" s="6"/>
      <c r="C35" s="5"/>
      <c r="D35" s="6"/>
      <c r="E35" s="6"/>
      <c r="J35" s="2"/>
      <c r="K35" s="2"/>
      <c r="L35" s="2"/>
    </row>
    <row r="36" spans="1:12" ht="18">
      <c r="A36" s="6"/>
      <c r="B36" s="50" t="s">
        <v>285</v>
      </c>
      <c r="C36" s="51"/>
      <c r="D36" s="52"/>
      <c r="E36" s="52"/>
      <c r="F36" s="53"/>
      <c r="J36" s="2"/>
      <c r="K36" s="2"/>
      <c r="L36" s="2"/>
    </row>
    <row r="37" spans="1:12" ht="12.75">
      <c r="A37" s="6"/>
      <c r="B37" s="6"/>
      <c r="C37" s="5"/>
      <c r="D37" s="6"/>
      <c r="E37" s="6"/>
      <c r="J37" s="2"/>
      <c r="K37" s="2"/>
      <c r="L37" s="2"/>
    </row>
    <row r="38" spans="1:12" ht="18">
      <c r="A38" s="6"/>
      <c r="B38" s="15"/>
      <c r="C38" s="2"/>
      <c r="D38" s="2"/>
      <c r="E38" s="2"/>
      <c r="F38" s="387" t="s">
        <v>317</v>
      </c>
      <c r="G38" s="4"/>
      <c r="J38" s="2"/>
      <c r="K38" s="2"/>
      <c r="L38" s="2"/>
    </row>
    <row r="39" spans="1:12" ht="25.5">
      <c r="A39" s="6"/>
      <c r="B39" s="77"/>
      <c r="C39" s="454" t="s">
        <v>326</v>
      </c>
      <c r="D39" s="356" t="s">
        <v>296</v>
      </c>
      <c r="E39" s="375" t="s">
        <v>327</v>
      </c>
      <c r="F39" s="372" t="s">
        <v>297</v>
      </c>
      <c r="G39" s="372" t="s">
        <v>298</v>
      </c>
      <c r="J39" s="2"/>
      <c r="K39" s="2"/>
      <c r="L39" s="2"/>
    </row>
    <row r="40" spans="1:12" ht="12.75">
      <c r="A40" s="6"/>
      <c r="B40" s="455" t="s">
        <v>295</v>
      </c>
      <c r="C40" s="456">
        <v>1</v>
      </c>
      <c r="D40" s="457">
        <v>10000000</v>
      </c>
      <c r="E40" s="458">
        <v>2000</v>
      </c>
      <c r="F40" s="373">
        <f>E40</f>
        <v>2000</v>
      </c>
      <c r="G40" s="373">
        <f>F40</f>
        <v>2000</v>
      </c>
      <c r="H40" s="16" t="str">
        <f>IF(OR(AND(D40=0,E40&lt;&gt;0),AND(D40&lt;&gt;0,E40=0)),"Intrarile de mijloace fixe implica amortizare aferenta",IF(E40&gt;D40/36,"Atentie! Amortizarea lunara introdusa este supradimensionata"," "))</f>
        <v> </v>
      </c>
      <c r="J40" s="2"/>
      <c r="K40" s="2"/>
      <c r="L40" s="2"/>
    </row>
    <row r="41" spans="1:12" ht="12.75">
      <c r="A41" s="6"/>
      <c r="B41" s="357"/>
      <c r="C41" s="355">
        <v>1</v>
      </c>
      <c r="D41" s="426"/>
      <c r="E41" s="419"/>
      <c r="F41" s="320">
        <f aca="true" t="shared" si="0" ref="F41:F52">F40+E41</f>
        <v>2000</v>
      </c>
      <c r="G41" s="320">
        <f>F41</f>
        <v>2000</v>
      </c>
      <c r="H41" s="16" t="str">
        <f aca="true" t="shared" si="1" ref="H41:H52">IF(OR(AND(D41=0,E41&lt;&gt;0),AND(D41&lt;&gt;0,E41=0)),"Intrarile de mijloace fixe implica amortizare aferenta",IF(E41&gt;D41/36,"Atentie! Amortizarea lunara introdusa este supradimensionata"," "))</f>
        <v> </v>
      </c>
      <c r="J41" s="2"/>
      <c r="K41" s="2"/>
      <c r="L41" s="2"/>
    </row>
    <row r="42" spans="1:12" ht="12.75">
      <c r="A42" s="6"/>
      <c r="B42" s="43"/>
      <c r="C42" s="44">
        <v>2</v>
      </c>
      <c r="D42" s="426"/>
      <c r="E42" s="419"/>
      <c r="F42" s="320">
        <f t="shared" si="0"/>
        <v>2000</v>
      </c>
      <c r="G42" s="320">
        <f aca="true" t="shared" si="2" ref="G42:G52">G41+F42</f>
        <v>4000</v>
      </c>
      <c r="H42" s="16" t="str">
        <f t="shared" si="1"/>
        <v> </v>
      </c>
      <c r="J42" s="2"/>
      <c r="K42" s="2"/>
      <c r="L42" s="2"/>
    </row>
    <row r="43" spans="1:12" ht="12.75">
      <c r="A43" s="6"/>
      <c r="B43" s="43"/>
      <c r="C43" s="45">
        <v>3</v>
      </c>
      <c r="D43" s="426">
        <v>15000</v>
      </c>
      <c r="E43" s="419">
        <v>250</v>
      </c>
      <c r="F43" s="320">
        <f t="shared" si="0"/>
        <v>2250</v>
      </c>
      <c r="G43" s="320">
        <f t="shared" si="2"/>
        <v>6250</v>
      </c>
      <c r="H43" s="16" t="str">
        <f>IF(OR(AND(D43=0,E43&lt;&gt;0),AND(D43&lt;&gt;0,E43=0)),"Intrarile de mijloace fixe implica amortizare aferenta",IF(E43&gt;D43/36,"Atentie! Amortizarea lunara introdusa este supradimensionata"," "))</f>
        <v> </v>
      </c>
      <c r="J43" s="2"/>
      <c r="K43" s="2"/>
      <c r="L43" s="2"/>
    </row>
    <row r="44" spans="1:12" ht="12.75">
      <c r="A44" s="6"/>
      <c r="B44" s="43"/>
      <c r="C44" s="45">
        <v>4</v>
      </c>
      <c r="D44" s="426"/>
      <c r="E44" s="419"/>
      <c r="F44" s="320">
        <f t="shared" si="0"/>
        <v>2250</v>
      </c>
      <c r="G44" s="320">
        <f t="shared" si="2"/>
        <v>8500</v>
      </c>
      <c r="H44" s="16" t="str">
        <f t="shared" si="1"/>
        <v> </v>
      </c>
      <c r="J44" s="2"/>
      <c r="K44" s="2"/>
      <c r="L44" s="2"/>
    </row>
    <row r="45" spans="1:12" ht="12.75">
      <c r="A45" s="6"/>
      <c r="B45" s="43"/>
      <c r="C45" s="45">
        <v>5</v>
      </c>
      <c r="D45" s="426">
        <v>7500000</v>
      </c>
      <c r="E45" s="419">
        <v>50000</v>
      </c>
      <c r="F45" s="320">
        <f t="shared" si="0"/>
        <v>52250</v>
      </c>
      <c r="G45" s="320">
        <f t="shared" si="2"/>
        <v>60750</v>
      </c>
      <c r="H45" s="16" t="str">
        <f t="shared" si="1"/>
        <v> </v>
      </c>
      <c r="J45" s="2"/>
      <c r="K45" s="2"/>
      <c r="L45" s="2"/>
    </row>
    <row r="46" spans="1:12" ht="12.75">
      <c r="A46" s="6"/>
      <c r="B46" s="46" t="s">
        <v>9</v>
      </c>
      <c r="C46" s="45">
        <v>6</v>
      </c>
      <c r="D46" s="426">
        <v>52000</v>
      </c>
      <c r="E46" s="419">
        <v>1000</v>
      </c>
      <c r="F46" s="320">
        <f t="shared" si="0"/>
        <v>53250</v>
      </c>
      <c r="G46" s="320">
        <f t="shared" si="2"/>
        <v>114000</v>
      </c>
      <c r="H46" s="16" t="str">
        <f>IF(OR(AND(D46=0,E46&lt;&gt;0),AND(D46&lt;&gt;0,E46=0)),"Intrarile de mijloace fixe implica amortizare aferenta",IF(E46&gt;D46/36,"Atentie! Amortizarea lunara introdusa este supradimensionata"," "))</f>
        <v> </v>
      </c>
      <c r="J46" s="2"/>
      <c r="K46" s="2"/>
      <c r="L46" s="2"/>
    </row>
    <row r="47" spans="1:12" ht="12.75">
      <c r="A47" s="6"/>
      <c r="B47" s="43"/>
      <c r="C47" s="45">
        <v>7</v>
      </c>
      <c r="D47" s="426"/>
      <c r="E47" s="419"/>
      <c r="F47" s="320">
        <f t="shared" si="0"/>
        <v>53250</v>
      </c>
      <c r="G47" s="320">
        <f t="shared" si="2"/>
        <v>167250</v>
      </c>
      <c r="H47" s="16" t="str">
        <f t="shared" si="1"/>
        <v> </v>
      </c>
      <c r="J47" s="2"/>
      <c r="K47" s="2"/>
      <c r="L47" s="2"/>
    </row>
    <row r="48" spans="1:12" ht="12.75">
      <c r="A48" s="6"/>
      <c r="B48" s="43"/>
      <c r="C48" s="45">
        <v>8</v>
      </c>
      <c r="D48" s="426"/>
      <c r="E48" s="419"/>
      <c r="F48" s="320">
        <f t="shared" si="0"/>
        <v>53250</v>
      </c>
      <c r="G48" s="320">
        <f t="shared" si="2"/>
        <v>220500</v>
      </c>
      <c r="H48" s="16" t="str">
        <f t="shared" si="1"/>
        <v> </v>
      </c>
      <c r="J48" s="2"/>
      <c r="K48" s="2"/>
      <c r="L48" s="2"/>
    </row>
    <row r="49" spans="1:12" ht="12.75">
      <c r="A49" s="6"/>
      <c r="B49" s="43"/>
      <c r="C49" s="45">
        <v>9</v>
      </c>
      <c r="D49" s="426"/>
      <c r="E49" s="419"/>
      <c r="F49" s="320">
        <f t="shared" si="0"/>
        <v>53250</v>
      </c>
      <c r="G49" s="320">
        <f t="shared" si="2"/>
        <v>273750</v>
      </c>
      <c r="H49" s="16" t="str">
        <f t="shared" si="1"/>
        <v> </v>
      </c>
      <c r="J49" s="2"/>
      <c r="K49" s="2"/>
      <c r="L49" s="2"/>
    </row>
    <row r="50" spans="1:12" ht="12.75">
      <c r="A50" s="6"/>
      <c r="B50" s="43"/>
      <c r="C50" s="45">
        <v>10</v>
      </c>
      <c r="D50" s="426"/>
      <c r="E50" s="419"/>
      <c r="F50" s="320">
        <f t="shared" si="0"/>
        <v>53250</v>
      </c>
      <c r="G50" s="320">
        <f t="shared" si="2"/>
        <v>327000</v>
      </c>
      <c r="H50" s="16" t="str">
        <f t="shared" si="1"/>
        <v> </v>
      </c>
      <c r="J50" s="2"/>
      <c r="K50" s="2"/>
      <c r="L50" s="2"/>
    </row>
    <row r="51" spans="1:12" ht="12.75">
      <c r="A51" s="6"/>
      <c r="B51" s="43"/>
      <c r="C51" s="45">
        <v>11</v>
      </c>
      <c r="D51" s="426"/>
      <c r="E51" s="419"/>
      <c r="F51" s="320">
        <f t="shared" si="0"/>
        <v>53250</v>
      </c>
      <c r="G51" s="320">
        <f t="shared" si="2"/>
        <v>380250</v>
      </c>
      <c r="H51" s="16" t="str">
        <f t="shared" si="1"/>
        <v> </v>
      </c>
      <c r="J51" s="2"/>
      <c r="K51" s="2"/>
      <c r="L51" s="2"/>
    </row>
    <row r="52" spans="1:12" ht="12.75">
      <c r="A52" s="6"/>
      <c r="B52" s="47"/>
      <c r="C52" s="45">
        <v>12</v>
      </c>
      <c r="D52" s="426"/>
      <c r="E52" s="419"/>
      <c r="F52" s="320">
        <f t="shared" si="0"/>
        <v>53250</v>
      </c>
      <c r="G52" s="320">
        <f t="shared" si="2"/>
        <v>433500</v>
      </c>
      <c r="H52" s="16" t="str">
        <f t="shared" si="1"/>
        <v> </v>
      </c>
      <c r="J52" s="2"/>
      <c r="K52" s="2"/>
      <c r="L52" s="2"/>
    </row>
    <row r="53" spans="1:12" ht="12.75">
      <c r="A53" s="6"/>
      <c r="B53" s="48" t="s">
        <v>10</v>
      </c>
      <c r="C53" s="49"/>
      <c r="D53" s="395">
        <f>SUM(D40:D52)</f>
        <v>17567000</v>
      </c>
      <c r="E53" s="459">
        <f>SUM(E40:E52)</f>
        <v>53250</v>
      </c>
      <c r="F53" s="374">
        <f>SUM(F40:F52)</f>
        <v>435500</v>
      </c>
      <c r="G53" s="374">
        <f>G52</f>
        <v>433500</v>
      </c>
      <c r="H53" s="16"/>
      <c r="J53" s="2"/>
      <c r="K53" s="2"/>
      <c r="L53" s="2"/>
    </row>
    <row r="54" spans="1:12" ht="12.75">
      <c r="A54" s="6"/>
      <c r="B54" s="48" t="s">
        <v>11</v>
      </c>
      <c r="C54" s="49"/>
      <c r="D54" s="395"/>
      <c r="E54" s="459"/>
      <c r="F54" s="374">
        <f aca="true" t="shared" si="3" ref="F54:G57">F53+E54</f>
        <v>435500</v>
      </c>
      <c r="G54" s="374">
        <f t="shared" si="3"/>
        <v>869000</v>
      </c>
      <c r="H54" s="16" t="str">
        <f>IF(OR(AND(D54=0,E54&lt;&gt;0),AND(D54&lt;&gt;0,E54=0)),"Intrarile de mijloace fixe implica amortizare aferenta",IF(E54&gt;D54/3,"Atentie! Amortizarea anuala introdusa este supradimensionata"," "))</f>
        <v> </v>
      </c>
      <c r="K54" s="2"/>
      <c r="L54" s="2"/>
    </row>
    <row r="55" spans="1:12" ht="12.75">
      <c r="A55" s="6"/>
      <c r="B55" s="48" t="s">
        <v>12</v>
      </c>
      <c r="C55" s="49"/>
      <c r="D55" s="395"/>
      <c r="E55" s="459"/>
      <c r="F55" s="374">
        <f t="shared" si="3"/>
        <v>435500</v>
      </c>
      <c r="G55" s="374">
        <f t="shared" si="3"/>
        <v>1304500</v>
      </c>
      <c r="H55" s="16" t="str">
        <f>IF(OR(AND(D55=0,E55&lt;&gt;0),AND(D55&lt;&gt;0,E55=0)),"Intrarile de mijloace fixe implica amortizare aferenta",IF(E55&gt;D55/3,"Atentie! Amortizarea anuala introdusa este supradimensionata"," "))</f>
        <v> </v>
      </c>
      <c r="J55" s="2"/>
      <c r="K55" s="2"/>
      <c r="L55" s="2"/>
    </row>
    <row r="56" spans="1:12" ht="12.75">
      <c r="A56" s="6"/>
      <c r="B56" s="48" t="s">
        <v>13</v>
      </c>
      <c r="C56" s="49"/>
      <c r="D56" s="395">
        <v>3300000</v>
      </c>
      <c r="E56" s="459">
        <v>25000</v>
      </c>
      <c r="F56" s="374">
        <f t="shared" si="3"/>
        <v>460500</v>
      </c>
      <c r="G56" s="374">
        <f t="shared" si="3"/>
        <v>1765000</v>
      </c>
      <c r="H56" s="16" t="str">
        <f>IF(OR(AND(D56=0,E56&lt;&gt;0),AND(D56&lt;&gt;0,E56=0)),"Intrarile de mijloace fixe implica amortizare aferenta",IF(E56&gt;D56/3,"Atentie! Amortizarea anuala introdusa este supradimensionata"," "))</f>
        <v> </v>
      </c>
      <c r="J56" s="2"/>
      <c r="K56" s="2"/>
      <c r="L56" s="2"/>
    </row>
    <row r="57" spans="1:12" ht="12.75">
      <c r="A57" s="6"/>
      <c r="B57" s="48" t="s">
        <v>15</v>
      </c>
      <c r="C57" s="49"/>
      <c r="D57" s="395">
        <v>2750000</v>
      </c>
      <c r="E57" s="459">
        <v>32000</v>
      </c>
      <c r="F57" s="374">
        <f t="shared" si="3"/>
        <v>492500</v>
      </c>
      <c r="G57" s="374">
        <f t="shared" si="3"/>
        <v>2257500</v>
      </c>
      <c r="H57" s="16" t="str">
        <f>IF(OR(AND(D57=0,E57&lt;&gt;0),AND(D57&lt;&gt;0,E57=0)),"Intrarile de mijloace fixe implica amortizare aferenta",IF(E57&gt;D57/3,"Atentie! Amortizarea anuala introdusa este supradimensionata"," "))</f>
        <v> </v>
      </c>
      <c r="J57" s="2"/>
      <c r="K57" s="2"/>
      <c r="L57" s="2"/>
    </row>
    <row r="58" spans="1:12" ht="12.75">
      <c r="A58" s="6"/>
      <c r="B58" s="6"/>
      <c r="C58" s="5"/>
      <c r="D58" s="6"/>
      <c r="E58" s="6"/>
      <c r="J58" s="2"/>
      <c r="K58" s="2"/>
      <c r="L58" s="2"/>
    </row>
    <row r="59" spans="1:12" ht="12.75">
      <c r="A59" s="6"/>
      <c r="B59" s="6"/>
      <c r="C59" s="5"/>
      <c r="D59" s="6"/>
      <c r="E59" s="6"/>
      <c r="J59" s="2"/>
      <c r="K59" s="2"/>
      <c r="L59" s="2"/>
    </row>
    <row r="60" spans="1:12" ht="12.75">
      <c r="A60" s="6"/>
      <c r="B60" s="6"/>
      <c r="C60" s="5"/>
      <c r="D60" s="6"/>
      <c r="E60" s="6"/>
      <c r="J60" s="2"/>
      <c r="K60" s="2"/>
      <c r="L60" s="2"/>
    </row>
    <row r="61" spans="1:12" ht="12.75">
      <c r="A61" s="6"/>
      <c r="B61" s="6"/>
      <c r="C61" s="5"/>
      <c r="D61" s="6"/>
      <c r="E61" s="6"/>
      <c r="J61" s="2"/>
      <c r="K61" s="2"/>
      <c r="L61" s="2"/>
    </row>
    <row r="62" spans="1:12" ht="12.75">
      <c r="A62" s="6"/>
      <c r="B62" s="6"/>
      <c r="C62" s="5"/>
      <c r="D62" s="6"/>
      <c r="E62" s="6"/>
      <c r="J62" s="2"/>
      <c r="K62" s="2"/>
      <c r="L62" s="2"/>
    </row>
    <row r="63" spans="1:12" ht="12.75">
      <c r="A63" s="6"/>
      <c r="B63" s="6"/>
      <c r="C63" s="5"/>
      <c r="D63" s="6"/>
      <c r="E63" s="6"/>
      <c r="J63" s="2"/>
      <c r="K63" s="2"/>
      <c r="L63" s="2"/>
    </row>
    <row r="64" spans="1:12" ht="12.75">
      <c r="A64" s="6"/>
      <c r="B64" s="6"/>
      <c r="C64" s="5"/>
      <c r="D64" s="6"/>
      <c r="E64" s="6"/>
      <c r="J64" s="2"/>
      <c r="K64" s="2"/>
      <c r="L64" s="2"/>
    </row>
    <row r="65" spans="1:12" ht="12.75">
      <c r="A65" s="6"/>
      <c r="B65" s="6"/>
      <c r="C65" s="5"/>
      <c r="D65" s="6"/>
      <c r="E65" s="6"/>
      <c r="J65" s="2"/>
      <c r="K65" s="2"/>
      <c r="L65" s="2"/>
    </row>
    <row r="66" spans="1:12" ht="12.75">
      <c r="A66" s="6"/>
      <c r="B66" s="6"/>
      <c r="C66" s="5"/>
      <c r="D66" s="6"/>
      <c r="E66" s="6"/>
      <c r="J66" s="2"/>
      <c r="K66" s="2"/>
      <c r="L66" s="2"/>
    </row>
    <row r="67" spans="1:12" ht="12.75">
      <c r="A67" s="6"/>
      <c r="B67" s="6"/>
      <c r="C67" s="5"/>
      <c r="D67" s="6"/>
      <c r="E67" s="6"/>
      <c r="J67" s="2"/>
      <c r="K67" s="2"/>
      <c r="L67" s="2"/>
    </row>
    <row r="68" spans="1:12" ht="12.75">
      <c r="A68" s="6"/>
      <c r="B68" s="6"/>
      <c r="C68" s="5"/>
      <c r="D68" s="6"/>
      <c r="E68" s="6"/>
      <c r="J68" s="2"/>
      <c r="K68" s="2"/>
      <c r="L68" s="2"/>
    </row>
    <row r="69" spans="1:12" ht="12.75">
      <c r="A69" s="6"/>
      <c r="B69" s="6"/>
      <c r="C69" s="5"/>
      <c r="D69" s="6"/>
      <c r="E69" s="6"/>
      <c r="J69" s="2"/>
      <c r="K69" s="2"/>
      <c r="L69" s="2"/>
    </row>
    <row r="70" spans="1:12" ht="12.75">
      <c r="A70" s="6"/>
      <c r="B70" s="6"/>
      <c r="C70" s="5"/>
      <c r="D70" s="6"/>
      <c r="E70" s="6"/>
      <c r="J70" s="2"/>
      <c r="K70" s="2"/>
      <c r="L70" s="2"/>
    </row>
    <row r="71" spans="1:12" ht="12.75">
      <c r="A71" s="6"/>
      <c r="B71" s="6"/>
      <c r="C71" s="5"/>
      <c r="D71" s="6"/>
      <c r="E71" s="6"/>
      <c r="J71" s="2"/>
      <c r="K71" s="2"/>
      <c r="L71" s="2"/>
    </row>
    <row r="72" spans="1:12" ht="12.75">
      <c r="A72" s="6"/>
      <c r="B72" s="6"/>
      <c r="C72" s="5"/>
      <c r="D72" s="6"/>
      <c r="E72" s="6"/>
      <c r="J72" s="2"/>
      <c r="K72" s="2"/>
      <c r="L72" s="2"/>
    </row>
    <row r="73" spans="1:12" ht="12.75">
      <c r="A73" s="6"/>
      <c r="B73" s="6"/>
      <c r="C73" s="5"/>
      <c r="D73" s="6"/>
      <c r="E73" s="6"/>
      <c r="J73" s="2"/>
      <c r="K73" s="2"/>
      <c r="L73" s="2"/>
    </row>
    <row r="74" spans="1:12" ht="12.75">
      <c r="A74" s="6"/>
      <c r="B74" s="6"/>
      <c r="C74" s="5"/>
      <c r="D74" s="6"/>
      <c r="E74" s="6"/>
      <c r="J74" s="2"/>
      <c r="K74" s="2"/>
      <c r="L74" s="2"/>
    </row>
    <row r="75" spans="1:12" ht="12.75">
      <c r="A75" s="6"/>
      <c r="B75" s="6"/>
      <c r="C75" s="5"/>
      <c r="D75" s="6"/>
      <c r="E75" s="6"/>
      <c r="J75" s="2"/>
      <c r="K75" s="2"/>
      <c r="L75" s="2"/>
    </row>
    <row r="76" spans="1:12" ht="12.75">
      <c r="A76" s="6"/>
      <c r="B76" s="6"/>
      <c r="C76" s="5"/>
      <c r="D76" s="6"/>
      <c r="E76" s="6"/>
      <c r="J76" s="2"/>
      <c r="K76" s="2"/>
      <c r="L76" s="2"/>
    </row>
    <row r="77" spans="2:12" ht="12.75">
      <c r="B77" s="2"/>
      <c r="C77" s="2"/>
      <c r="D77" s="2"/>
      <c r="J77" s="2"/>
      <c r="K77" s="2"/>
      <c r="L77" s="2"/>
    </row>
    <row r="78" spans="2:12" ht="12.75">
      <c r="B78" s="2"/>
      <c r="C78" s="2"/>
      <c r="D78" s="2"/>
      <c r="J78" s="2"/>
      <c r="K78" s="2"/>
      <c r="L78" s="2"/>
    </row>
    <row r="79" spans="2:12" ht="12.75">
      <c r="B79" s="2"/>
      <c r="C79" s="2"/>
      <c r="D79" s="2"/>
      <c r="J79" s="2"/>
      <c r="K79" s="2"/>
      <c r="L79" s="2"/>
    </row>
    <row r="80" spans="2:12" ht="12.75">
      <c r="B80" s="2"/>
      <c r="C80" s="2"/>
      <c r="D80" s="2"/>
      <c r="J80" s="2"/>
      <c r="K80" s="2"/>
      <c r="L80" s="2"/>
    </row>
    <row r="81" spans="2:12" ht="18">
      <c r="B81" s="58" t="s">
        <v>318</v>
      </c>
      <c r="C81" s="59"/>
      <c r="D81" s="60"/>
      <c r="E81" s="389"/>
      <c r="J81" s="2"/>
      <c r="K81" s="2"/>
      <c r="L81" s="2"/>
    </row>
    <row r="82" spans="2:12" ht="12.75">
      <c r="B82" s="2"/>
      <c r="C82" s="2"/>
      <c r="D82" s="2"/>
      <c r="J82" s="2"/>
      <c r="K82" s="2"/>
      <c r="L82" s="2"/>
    </row>
    <row r="83" spans="2:12" ht="18">
      <c r="B83" s="4"/>
      <c r="C83" s="2"/>
      <c r="D83" s="2"/>
      <c r="F83" s="387" t="s">
        <v>317</v>
      </c>
      <c r="J83" s="2"/>
      <c r="K83" s="2"/>
      <c r="L83" s="2"/>
    </row>
    <row r="84" spans="2:12" ht="12.75">
      <c r="B84" s="378" t="s">
        <v>314</v>
      </c>
      <c r="C84" s="4"/>
      <c r="D84" s="4"/>
      <c r="J84" s="4"/>
      <c r="K84" s="4"/>
      <c r="L84" s="4"/>
    </row>
    <row r="85" spans="1:14" ht="15.75">
      <c r="A85" s="10"/>
      <c r="B85" s="61"/>
      <c r="C85" s="485" t="s">
        <v>299</v>
      </c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7"/>
    </row>
    <row r="86" spans="2:14" ht="12.75">
      <c r="B86" s="62" t="s">
        <v>33</v>
      </c>
      <c r="C86" s="62">
        <v>1</v>
      </c>
      <c r="D86" s="62">
        <v>2</v>
      </c>
      <c r="E86" s="62">
        <v>3</v>
      </c>
      <c r="F86" s="62">
        <v>4</v>
      </c>
      <c r="G86" s="62">
        <v>5</v>
      </c>
      <c r="H86" s="62">
        <v>6</v>
      </c>
      <c r="I86" s="62">
        <v>7</v>
      </c>
      <c r="J86" s="62">
        <v>8</v>
      </c>
      <c r="K86" s="62">
        <v>9</v>
      </c>
      <c r="L86" s="62">
        <v>10</v>
      </c>
      <c r="M86" s="62">
        <v>11</v>
      </c>
      <c r="N86" s="62">
        <v>12</v>
      </c>
    </row>
    <row r="87" spans="2:12" ht="18">
      <c r="B87" s="20"/>
      <c r="C87" s="21" t="s">
        <v>260</v>
      </c>
      <c r="D87" s="22">
        <f>IF(OR((D88&gt;100),(D89&gt;100),(D90&gt;100),(D91&gt;100),(D92&gt;100),(D93&gt;100)),"Creşterea introdusă trebuie exprimată ca procent","")</f>
      </c>
      <c r="J87" s="2"/>
      <c r="K87" s="2"/>
      <c r="L87" s="2"/>
    </row>
    <row r="88" spans="1:14" ht="12.75">
      <c r="A88" s="2"/>
      <c r="B88" s="63" t="s">
        <v>21</v>
      </c>
      <c r="C88" s="395">
        <v>1000000</v>
      </c>
      <c r="D88" s="396">
        <v>25</v>
      </c>
      <c r="E88" s="396">
        <v>0</v>
      </c>
      <c r="F88" s="396">
        <v>0</v>
      </c>
      <c r="G88" s="396">
        <v>10</v>
      </c>
      <c r="H88" s="396">
        <v>0</v>
      </c>
      <c r="I88" s="396">
        <v>0</v>
      </c>
      <c r="J88" s="396">
        <v>0</v>
      </c>
      <c r="K88" s="396">
        <v>0</v>
      </c>
      <c r="L88" s="396">
        <v>10</v>
      </c>
      <c r="M88" s="396">
        <v>41</v>
      </c>
      <c r="N88" s="396">
        <v>0</v>
      </c>
    </row>
    <row r="89" spans="1:14" ht="25.5">
      <c r="A89" s="2"/>
      <c r="B89" s="63" t="s">
        <v>22</v>
      </c>
      <c r="C89" s="395">
        <v>600000</v>
      </c>
      <c r="D89" s="396">
        <v>5</v>
      </c>
      <c r="E89" s="396">
        <v>3</v>
      </c>
      <c r="F89" s="396">
        <v>4</v>
      </c>
      <c r="G89" s="396">
        <v>0</v>
      </c>
      <c r="H89" s="396">
        <v>10</v>
      </c>
      <c r="I89" s="396">
        <v>4</v>
      </c>
      <c r="J89" s="396">
        <v>0</v>
      </c>
      <c r="K89" s="396">
        <v>12</v>
      </c>
      <c r="L89" s="396">
        <v>0</v>
      </c>
      <c r="M89" s="396">
        <v>0</v>
      </c>
      <c r="N89" s="396">
        <v>0</v>
      </c>
    </row>
    <row r="90" spans="1:14" ht="12.75">
      <c r="A90" s="2"/>
      <c r="B90" s="63" t="s">
        <v>23</v>
      </c>
      <c r="C90" s="395">
        <v>100000</v>
      </c>
      <c r="D90" s="396">
        <v>10</v>
      </c>
      <c r="E90" s="396">
        <v>0</v>
      </c>
      <c r="F90" s="396">
        <v>0</v>
      </c>
      <c r="G90" s="396">
        <v>0</v>
      </c>
      <c r="H90" s="396">
        <v>0</v>
      </c>
      <c r="I90" s="396">
        <v>0</v>
      </c>
      <c r="J90" s="396">
        <v>10</v>
      </c>
      <c r="K90" s="396">
        <v>0</v>
      </c>
      <c r="L90" s="396">
        <v>0</v>
      </c>
      <c r="M90" s="396">
        <v>0</v>
      </c>
      <c r="N90" s="396">
        <v>0</v>
      </c>
    </row>
    <row r="91" spans="1:14" ht="12.75">
      <c r="A91" s="2" t="s">
        <v>329</v>
      </c>
      <c r="B91" s="63" t="s">
        <v>24</v>
      </c>
      <c r="C91" s="397">
        <v>60</v>
      </c>
      <c r="D91" s="397">
        <v>60</v>
      </c>
      <c r="E91" s="397">
        <v>60</v>
      </c>
      <c r="F91" s="397">
        <v>50</v>
      </c>
      <c r="G91" s="397">
        <v>60</v>
      </c>
      <c r="H91" s="397">
        <v>60</v>
      </c>
      <c r="I91" s="397">
        <v>60</v>
      </c>
      <c r="J91" s="397">
        <v>60</v>
      </c>
      <c r="K91" s="397">
        <v>100</v>
      </c>
      <c r="L91" s="397">
        <v>150</v>
      </c>
      <c r="M91" s="397">
        <v>100</v>
      </c>
      <c r="N91" s="397">
        <v>100</v>
      </c>
    </row>
    <row r="92" spans="1:14" ht="12.75">
      <c r="A92" s="2"/>
      <c r="B92" s="65" t="s">
        <v>25</v>
      </c>
      <c r="C92" s="398">
        <v>150000</v>
      </c>
      <c r="D92" s="398">
        <v>2</v>
      </c>
      <c r="E92" s="398">
        <v>0</v>
      </c>
      <c r="F92" s="398">
        <v>0</v>
      </c>
      <c r="G92" s="398">
        <v>0</v>
      </c>
      <c r="H92" s="398">
        <v>2</v>
      </c>
      <c r="I92" s="398">
        <v>0</v>
      </c>
      <c r="J92" s="398">
        <v>0</v>
      </c>
      <c r="K92" s="398">
        <v>0</v>
      </c>
      <c r="L92" s="398">
        <v>2</v>
      </c>
      <c r="M92" s="398">
        <v>0</v>
      </c>
      <c r="N92" s="398">
        <v>0</v>
      </c>
    </row>
    <row r="93" spans="1:14" ht="12.75">
      <c r="A93" s="2"/>
      <c r="B93" s="65" t="s">
        <v>273</v>
      </c>
      <c r="C93" s="398">
        <v>50000</v>
      </c>
      <c r="D93" s="398">
        <v>10</v>
      </c>
      <c r="E93" s="398">
        <v>0</v>
      </c>
      <c r="F93" s="398">
        <v>0</v>
      </c>
      <c r="G93" s="398">
        <v>0</v>
      </c>
      <c r="H93" s="398">
        <v>10</v>
      </c>
      <c r="I93" s="398">
        <v>0</v>
      </c>
      <c r="J93" s="398">
        <v>0</v>
      </c>
      <c r="K93" s="398">
        <v>0</v>
      </c>
      <c r="L93" s="398">
        <v>0</v>
      </c>
      <c r="M93" s="398">
        <v>0</v>
      </c>
      <c r="N93" s="398">
        <v>15</v>
      </c>
    </row>
    <row r="94" spans="1:14" ht="12.75">
      <c r="A94" s="2"/>
      <c r="B94" s="371" t="s">
        <v>315</v>
      </c>
      <c r="C94" s="399">
        <v>500</v>
      </c>
      <c r="D94" s="399">
        <v>0</v>
      </c>
      <c r="E94" s="399">
        <v>1000</v>
      </c>
      <c r="F94" s="399">
        <v>0</v>
      </c>
      <c r="G94" s="399">
        <v>0</v>
      </c>
      <c r="H94" s="399">
        <v>2000</v>
      </c>
      <c r="I94" s="399"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</row>
    <row r="95" spans="1:14" ht="12.75">
      <c r="A95" s="2"/>
      <c r="B95" s="371" t="s">
        <v>68</v>
      </c>
      <c r="C95" s="395">
        <v>8000</v>
      </c>
      <c r="D95" s="395">
        <v>10000</v>
      </c>
      <c r="E95" s="395">
        <v>2000</v>
      </c>
      <c r="F95" s="395">
        <v>0</v>
      </c>
      <c r="G95" s="395">
        <v>0</v>
      </c>
      <c r="H95" s="395">
        <v>0</v>
      </c>
      <c r="I95" s="395">
        <v>1500</v>
      </c>
      <c r="J95" s="395">
        <v>0</v>
      </c>
      <c r="K95" s="395">
        <v>0</v>
      </c>
      <c r="L95" s="395">
        <v>0</v>
      </c>
      <c r="M95" s="395">
        <v>0</v>
      </c>
      <c r="N95" s="395">
        <v>0</v>
      </c>
    </row>
    <row r="96" spans="1:14" ht="25.5">
      <c r="A96" s="2"/>
      <c r="B96" s="370" t="s">
        <v>301</v>
      </c>
      <c r="C96" s="400">
        <v>15000</v>
      </c>
      <c r="D96" s="400">
        <v>10000</v>
      </c>
      <c r="E96" s="400">
        <v>0</v>
      </c>
      <c r="F96" s="400">
        <v>0</v>
      </c>
      <c r="G96" s="400">
        <v>0</v>
      </c>
      <c r="H96" s="400">
        <v>25000</v>
      </c>
      <c r="I96" s="400">
        <v>0</v>
      </c>
      <c r="J96" s="400">
        <v>0</v>
      </c>
      <c r="K96" s="400">
        <v>0</v>
      </c>
      <c r="L96" s="400">
        <v>0</v>
      </c>
      <c r="M96" s="400">
        <v>0</v>
      </c>
      <c r="N96" s="400">
        <v>0</v>
      </c>
    </row>
    <row r="97" spans="1:15" ht="12.75">
      <c r="A97" s="2"/>
      <c r="B97" s="380" t="s">
        <v>302</v>
      </c>
      <c r="C97" s="401">
        <v>0.16</v>
      </c>
      <c r="D97" s="401">
        <v>0.16</v>
      </c>
      <c r="E97" s="401">
        <v>0.16</v>
      </c>
      <c r="F97" s="401">
        <v>0.16</v>
      </c>
      <c r="G97" s="401">
        <v>0.16</v>
      </c>
      <c r="H97" s="401">
        <v>0.16</v>
      </c>
      <c r="I97" s="401">
        <v>0.16</v>
      </c>
      <c r="J97" s="401">
        <v>0.16</v>
      </c>
      <c r="K97" s="401">
        <v>0.16</v>
      </c>
      <c r="L97" s="401">
        <v>0.16</v>
      </c>
      <c r="M97" s="401">
        <v>0.16</v>
      </c>
      <c r="N97" s="401">
        <v>0.16</v>
      </c>
      <c r="O97" s="12" t="str">
        <f>IF(AND(C97&lt;=1,D97&lt;=1,E97&lt;=1,F97&lt;=1,G97&lt;=1,H97&lt;=1,I97&lt;=1,J97&lt;=1,K97&lt;=1,L97&lt;=1,M97&lt;=1,N97&lt;=1)," ","Cota de impozit pe profit trebuie sa fie de forma 0.XX")</f>
        <v> </v>
      </c>
    </row>
    <row r="98" spans="1:15" ht="12.75">
      <c r="A98" s="4"/>
      <c r="B98" s="74" t="s">
        <v>303</v>
      </c>
      <c r="C98" s="382"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82"/>
      <c r="N98" s="402">
        <v>0.15</v>
      </c>
      <c r="O98" s="379" t="str">
        <f>IF(N98&lt;=1," ","Coeficientul de repartizare a dividendelor trebuie sa fie de forma 0.XX")</f>
        <v> </v>
      </c>
    </row>
    <row r="99" spans="1:14" ht="25.5">
      <c r="A99" s="2"/>
      <c r="B99" s="381" t="s">
        <v>304</v>
      </c>
      <c r="C99" s="403">
        <v>25</v>
      </c>
      <c r="D99" s="25">
        <f>IF(OR((C99&gt;100),(C99&lt;0)),"Ponderea acestor elem. în cifra de afaceri este pozitivă, max. 100%","")</f>
      </c>
      <c r="E99" s="26"/>
      <c r="J99" s="4"/>
      <c r="K99" s="4"/>
      <c r="L99" s="4"/>
      <c r="M99" s="36"/>
      <c r="N99" s="36"/>
    </row>
    <row r="100" spans="1:12" ht="18">
      <c r="A100" s="2"/>
      <c r="B100" s="65" t="s">
        <v>305</v>
      </c>
      <c r="C100" s="404">
        <v>12</v>
      </c>
      <c r="D100" s="25">
        <f>IF(OR((C100&gt;100),(C100&lt;0)),"Ponderea acestor elem. în cifra de afaceri este pozitivă, max. 100%","")</f>
      </c>
      <c r="E100" s="26"/>
      <c r="J100" s="2"/>
      <c r="K100" s="2"/>
      <c r="L100" s="2"/>
    </row>
    <row r="101" spans="1:12" ht="25.5">
      <c r="A101" s="2"/>
      <c r="B101" s="65" t="s">
        <v>306</v>
      </c>
      <c r="C101" s="405">
        <v>8</v>
      </c>
      <c r="D101" s="25">
        <f>IF(OR((C101&gt;100),(C101&lt;0)),"Ponderea acestor elem. în cifra de afaceri este pozitivă, max. 100%","")</f>
      </c>
      <c r="E101" s="26"/>
      <c r="J101" s="2"/>
      <c r="K101" s="2"/>
      <c r="L101" s="2"/>
    </row>
    <row r="102" spans="1:12" ht="25.5">
      <c r="A102" s="2"/>
      <c r="B102" s="65" t="s">
        <v>307</v>
      </c>
      <c r="C102" s="405">
        <v>5</v>
      </c>
      <c r="D102" s="25">
        <f>IF(OR((C102&gt;100),(C102&lt;0)),"Ponderea acestor elem. în cifra de afaceri este pozitivă, max. 100%","")</f>
      </c>
      <c r="E102" s="26"/>
      <c r="J102" s="2"/>
      <c r="K102" s="2"/>
      <c r="L102" s="2"/>
    </row>
    <row r="103" spans="1:12" ht="25.5">
      <c r="A103" s="2"/>
      <c r="B103" s="65" t="s">
        <v>343</v>
      </c>
      <c r="C103" s="406">
        <v>40000</v>
      </c>
      <c r="D103" s="26"/>
      <c r="E103" s="26"/>
      <c r="J103" s="2"/>
      <c r="K103" s="2"/>
      <c r="L103" s="2"/>
    </row>
    <row r="104" spans="1:12" ht="25.5">
      <c r="A104" s="2"/>
      <c r="B104" s="65" t="s">
        <v>344</v>
      </c>
      <c r="C104" s="406">
        <v>5000</v>
      </c>
      <c r="D104" s="26"/>
      <c r="E104" s="26"/>
      <c r="J104" s="2"/>
      <c r="K104" s="2"/>
      <c r="L104" s="2"/>
    </row>
    <row r="105" spans="1:12" ht="12.75">
      <c r="A105" s="2"/>
      <c r="B105" s="65" t="s">
        <v>308</v>
      </c>
      <c r="C105" s="407">
        <v>1500</v>
      </c>
      <c r="D105" s="26"/>
      <c r="E105" s="26"/>
      <c r="J105" s="2"/>
      <c r="K105" s="2"/>
      <c r="L105" s="2"/>
    </row>
    <row r="106" spans="1:12" ht="18">
      <c r="A106" s="2"/>
      <c r="B106" s="30"/>
      <c r="C106" s="26"/>
      <c r="D106" s="26"/>
      <c r="E106" s="26"/>
      <c r="F106" s="387" t="s">
        <v>317</v>
      </c>
      <c r="J106" s="2"/>
      <c r="K106" s="2"/>
      <c r="L106" s="2"/>
    </row>
    <row r="107" spans="1:12" ht="25.5">
      <c r="A107" s="4"/>
      <c r="B107" s="377" t="s">
        <v>313</v>
      </c>
      <c r="C107" s="26"/>
      <c r="D107" s="20"/>
      <c r="E107" s="20"/>
      <c r="J107" s="2"/>
      <c r="K107" s="2"/>
      <c r="L107" s="2"/>
    </row>
    <row r="108" spans="1:12" ht="12.75">
      <c r="A108" s="2"/>
      <c r="B108" s="62" t="s">
        <v>33</v>
      </c>
      <c r="C108" s="66" t="s">
        <v>26</v>
      </c>
      <c r="D108" s="66" t="s">
        <v>27</v>
      </c>
      <c r="E108" s="66" t="s">
        <v>28</v>
      </c>
      <c r="F108" s="67" t="s">
        <v>29</v>
      </c>
      <c r="G108" s="28"/>
      <c r="J108" s="2"/>
      <c r="K108" s="2"/>
      <c r="L108" s="2"/>
    </row>
    <row r="109" spans="1:12" ht="12.75">
      <c r="A109" s="2"/>
      <c r="B109" s="63" t="s">
        <v>21</v>
      </c>
      <c r="C109" s="408">
        <v>5</v>
      </c>
      <c r="D109" s="408">
        <v>5</v>
      </c>
      <c r="E109" s="408">
        <v>9</v>
      </c>
      <c r="F109" s="408">
        <v>5</v>
      </c>
      <c r="J109" s="2"/>
      <c r="K109" s="2"/>
      <c r="L109" s="2"/>
    </row>
    <row r="110" spans="1:12" ht="25.5">
      <c r="A110" s="2"/>
      <c r="B110" s="63" t="s">
        <v>22</v>
      </c>
      <c r="C110" s="408">
        <v>2</v>
      </c>
      <c r="D110" s="408">
        <v>2</v>
      </c>
      <c r="E110" s="408">
        <v>2</v>
      </c>
      <c r="F110" s="408">
        <v>2</v>
      </c>
      <c r="J110" s="2"/>
      <c r="K110" s="2"/>
      <c r="L110" s="2"/>
    </row>
    <row r="111" spans="1:12" ht="12.75">
      <c r="A111" s="2"/>
      <c r="B111" s="63" t="s">
        <v>31</v>
      </c>
      <c r="C111" s="408">
        <v>1</v>
      </c>
      <c r="D111" s="408">
        <v>1</v>
      </c>
      <c r="E111" s="408">
        <v>1</v>
      </c>
      <c r="F111" s="408">
        <v>1</v>
      </c>
      <c r="J111" s="2"/>
      <c r="K111" s="2"/>
      <c r="L111" s="2"/>
    </row>
    <row r="112" spans="1:12" ht="12.75">
      <c r="A112" s="2"/>
      <c r="B112" s="63" t="s">
        <v>24</v>
      </c>
      <c r="C112" s="409">
        <v>60</v>
      </c>
      <c r="D112" s="409">
        <v>60</v>
      </c>
      <c r="E112" s="409">
        <v>60</v>
      </c>
      <c r="F112" s="409">
        <v>60</v>
      </c>
      <c r="J112" s="2"/>
      <c r="K112" s="2"/>
      <c r="L112" s="2"/>
    </row>
    <row r="113" spans="1:12" ht="12.75" hidden="1">
      <c r="A113" s="2"/>
      <c r="B113" s="69" t="s">
        <v>32</v>
      </c>
      <c r="C113" s="410"/>
      <c r="D113" s="410"/>
      <c r="E113" s="410"/>
      <c r="F113" s="411"/>
      <c r="J113" s="2"/>
      <c r="K113" s="2"/>
      <c r="L113" s="2"/>
    </row>
    <row r="114" spans="1:12" ht="12.75">
      <c r="A114" s="2"/>
      <c r="B114" s="376" t="s">
        <v>311</v>
      </c>
      <c r="C114" s="412">
        <v>0</v>
      </c>
      <c r="D114" s="413">
        <v>0</v>
      </c>
      <c r="E114" s="413">
        <v>0</v>
      </c>
      <c r="F114" s="413">
        <v>0</v>
      </c>
      <c r="J114" s="2"/>
      <c r="K114" s="2"/>
      <c r="L114" s="2"/>
    </row>
    <row r="115" spans="1:12" ht="25.5">
      <c r="A115" s="2"/>
      <c r="B115" s="63" t="s">
        <v>312</v>
      </c>
      <c r="C115" s="414">
        <v>0</v>
      </c>
      <c r="D115" s="414">
        <v>0</v>
      </c>
      <c r="E115" s="414">
        <v>0</v>
      </c>
      <c r="F115" s="414">
        <v>0</v>
      </c>
      <c r="J115" s="2"/>
      <c r="K115" s="2"/>
      <c r="L115" s="2"/>
    </row>
    <row r="116" spans="1:12" ht="12.75">
      <c r="A116" s="2"/>
      <c r="B116" s="63" t="s">
        <v>273</v>
      </c>
      <c r="C116" s="396">
        <v>0</v>
      </c>
      <c r="D116" s="396">
        <v>0</v>
      </c>
      <c r="E116" s="396">
        <v>0</v>
      </c>
      <c r="F116" s="396">
        <v>0</v>
      </c>
      <c r="J116" s="2"/>
      <c r="K116" s="2"/>
      <c r="L116" s="2"/>
    </row>
    <row r="117" spans="1:12" ht="12.75">
      <c r="A117" s="2"/>
      <c r="B117" s="63" t="s">
        <v>276</v>
      </c>
      <c r="C117" s="396">
        <v>0</v>
      </c>
      <c r="D117" s="396">
        <v>0</v>
      </c>
      <c r="E117" s="396">
        <v>0</v>
      </c>
      <c r="F117" s="396">
        <v>0</v>
      </c>
      <c r="J117" s="2"/>
      <c r="K117" s="2"/>
      <c r="L117" s="2"/>
    </row>
    <row r="118" spans="1:12" ht="12.75">
      <c r="A118" s="2"/>
      <c r="B118" s="63" t="s">
        <v>277</v>
      </c>
      <c r="C118" s="396">
        <v>0</v>
      </c>
      <c r="D118" s="396">
        <v>0</v>
      </c>
      <c r="E118" s="396">
        <v>0</v>
      </c>
      <c r="F118" s="396">
        <v>0</v>
      </c>
      <c r="J118" s="2"/>
      <c r="K118" s="2"/>
      <c r="L118" s="2"/>
    </row>
    <row r="119" spans="1:12" ht="12.75">
      <c r="A119" s="2"/>
      <c r="B119" s="63" t="s">
        <v>315</v>
      </c>
      <c r="C119" s="396">
        <v>0</v>
      </c>
      <c r="D119" s="396">
        <v>0</v>
      </c>
      <c r="E119" s="396">
        <v>0</v>
      </c>
      <c r="F119" s="396">
        <v>0</v>
      </c>
      <c r="J119" s="2"/>
      <c r="K119" s="2"/>
      <c r="L119" s="2"/>
    </row>
    <row r="120" spans="1:12" ht="12.75">
      <c r="A120" s="2"/>
      <c r="B120" s="383" t="s">
        <v>68</v>
      </c>
      <c r="C120" s="395">
        <v>10000</v>
      </c>
      <c r="D120" s="395">
        <v>30000</v>
      </c>
      <c r="E120" s="395">
        <v>50000</v>
      </c>
      <c r="F120" s="395">
        <v>0</v>
      </c>
      <c r="J120" s="2"/>
      <c r="K120" s="2"/>
      <c r="L120" s="2"/>
    </row>
    <row r="121" spans="1:12" ht="25.5">
      <c r="A121" s="2"/>
      <c r="B121" s="370" t="s">
        <v>301</v>
      </c>
      <c r="C121" s="395">
        <v>1500</v>
      </c>
      <c r="D121" s="395">
        <v>25000</v>
      </c>
      <c r="E121" s="395">
        <v>12000</v>
      </c>
      <c r="F121" s="395">
        <v>0</v>
      </c>
      <c r="J121" s="2"/>
      <c r="K121" s="2"/>
      <c r="L121" s="2"/>
    </row>
    <row r="122" spans="1:12" ht="18">
      <c r="A122" s="2"/>
      <c r="B122" s="63" t="s">
        <v>333</v>
      </c>
      <c r="C122" s="415">
        <v>0.16</v>
      </c>
      <c r="D122" s="415">
        <v>0.16</v>
      </c>
      <c r="E122" s="415">
        <v>0.16</v>
      </c>
      <c r="F122" s="415">
        <v>0.16</v>
      </c>
      <c r="G122" s="22">
        <f>IF((OR(C122&gt;1,D122&gt;1,E122&gt;1,F122&gt;1)),"Cota de impozit pe profit trebuie sa fie de forma 0.XX","")</f>
      </c>
      <c r="J122" s="2"/>
      <c r="K122" s="2"/>
      <c r="L122" s="2"/>
    </row>
    <row r="123" spans="1:12" ht="18">
      <c r="A123" s="2"/>
      <c r="B123" s="68" t="s">
        <v>316</v>
      </c>
      <c r="C123" s="416">
        <v>0.25</v>
      </c>
      <c r="D123" s="416">
        <v>0.75</v>
      </c>
      <c r="E123" s="416">
        <v>0</v>
      </c>
      <c r="F123" s="416">
        <v>1</v>
      </c>
      <c r="G123" s="22">
        <f>IF((OR(C123&gt;1,D123&gt;1,E123&gt;1,F123&gt;1)),"Coeficientul de repartizare a dividendelor trebuie sa fie de forma 0.XX","")</f>
      </c>
      <c r="J123" s="2"/>
      <c r="K123" s="2"/>
      <c r="L123" s="2"/>
    </row>
    <row r="124" spans="1:12" s="34" customFormat="1" ht="18">
      <c r="A124" s="4"/>
      <c r="B124" s="30"/>
      <c r="C124" s="31"/>
      <c r="D124" s="31"/>
      <c r="E124" s="31"/>
      <c r="F124" s="31"/>
      <c r="G124" s="32"/>
      <c r="H124" s="33"/>
      <c r="I124" s="33"/>
      <c r="J124" s="4"/>
      <c r="K124" s="4"/>
      <c r="L124" s="4"/>
    </row>
    <row r="125" spans="1:12" s="34" customFormat="1" ht="18">
      <c r="A125" s="4"/>
      <c r="B125" s="30"/>
      <c r="C125" s="31"/>
      <c r="D125" s="31"/>
      <c r="E125" s="31"/>
      <c r="F125" s="31"/>
      <c r="G125" s="32"/>
      <c r="H125" s="33"/>
      <c r="I125" s="33"/>
      <c r="J125" s="4"/>
      <c r="K125" s="4"/>
      <c r="L125" s="4"/>
    </row>
    <row r="126" spans="1:12" s="34" customFormat="1" ht="18">
      <c r="A126" s="4"/>
      <c r="B126" s="30"/>
      <c r="C126" s="31"/>
      <c r="D126" s="31"/>
      <c r="E126" s="31"/>
      <c r="F126" s="31"/>
      <c r="G126" s="32"/>
      <c r="H126" s="33"/>
      <c r="I126" s="33"/>
      <c r="J126" s="4"/>
      <c r="K126" s="4"/>
      <c r="L126" s="4"/>
    </row>
    <row r="127" spans="1:12" s="34" customFormat="1" ht="18">
      <c r="A127" s="4"/>
      <c r="B127" s="30"/>
      <c r="C127" s="31"/>
      <c r="D127" s="31"/>
      <c r="E127" s="31"/>
      <c r="F127" s="31"/>
      <c r="G127" s="32"/>
      <c r="H127" s="33"/>
      <c r="I127" s="33"/>
      <c r="J127" s="4"/>
      <c r="K127" s="4"/>
      <c r="L127" s="4"/>
    </row>
    <row r="128" spans="1:12" s="34" customFormat="1" ht="18">
      <c r="A128" s="4"/>
      <c r="B128" s="30"/>
      <c r="C128" s="31"/>
      <c r="D128" s="31"/>
      <c r="E128" s="31"/>
      <c r="F128" s="31"/>
      <c r="G128" s="32"/>
      <c r="H128" s="33"/>
      <c r="I128" s="33"/>
      <c r="J128" s="4"/>
      <c r="K128" s="4"/>
      <c r="L128" s="4"/>
    </row>
    <row r="129" spans="1:12" s="34" customFormat="1" ht="18">
      <c r="A129" s="4"/>
      <c r="B129" s="30"/>
      <c r="C129" s="31"/>
      <c r="D129" s="31"/>
      <c r="E129" s="31"/>
      <c r="F129" s="31"/>
      <c r="G129" s="32"/>
      <c r="H129" s="33"/>
      <c r="I129" s="33"/>
      <c r="J129" s="4"/>
      <c r="K129" s="4"/>
      <c r="L129" s="4"/>
    </row>
    <row r="130" spans="1:12" s="34" customFormat="1" ht="18">
      <c r="A130" s="4"/>
      <c r="B130" s="30"/>
      <c r="C130" s="31"/>
      <c r="D130" s="31"/>
      <c r="E130" s="31"/>
      <c r="F130" s="31"/>
      <c r="G130" s="32"/>
      <c r="H130" s="33"/>
      <c r="I130" s="33"/>
      <c r="J130" s="4"/>
      <c r="K130" s="4"/>
      <c r="L130" s="4"/>
    </row>
    <row r="131" spans="1:12" s="34" customFormat="1" ht="18">
      <c r="A131" s="4"/>
      <c r="B131" s="30"/>
      <c r="C131" s="31"/>
      <c r="D131" s="31"/>
      <c r="E131" s="31"/>
      <c r="F131" s="31"/>
      <c r="G131" s="32"/>
      <c r="H131" s="33"/>
      <c r="I131" s="33"/>
      <c r="J131" s="4"/>
      <c r="K131" s="4"/>
      <c r="L131" s="4"/>
    </row>
    <row r="132" spans="1:12" s="34" customFormat="1" ht="18">
      <c r="A132" s="4"/>
      <c r="B132" s="30"/>
      <c r="C132" s="31"/>
      <c r="D132" s="31"/>
      <c r="E132" s="31"/>
      <c r="F132" s="31"/>
      <c r="G132" s="32"/>
      <c r="H132" s="33"/>
      <c r="I132" s="33"/>
      <c r="J132" s="4"/>
      <c r="K132" s="4"/>
      <c r="L132" s="4"/>
    </row>
    <row r="133" spans="1:12" s="34" customFormat="1" ht="18">
      <c r="A133" s="4"/>
      <c r="B133" s="30"/>
      <c r="C133" s="31"/>
      <c r="D133" s="31"/>
      <c r="E133" s="31"/>
      <c r="F133" s="31"/>
      <c r="G133" s="32"/>
      <c r="H133" s="33"/>
      <c r="I133" s="33"/>
      <c r="J133" s="4"/>
      <c r="K133" s="4"/>
      <c r="L133" s="4"/>
    </row>
    <row r="134" spans="1:12" s="34" customFormat="1" ht="18">
      <c r="A134" s="4"/>
      <c r="B134" s="30"/>
      <c r="C134" s="31"/>
      <c r="D134" s="31"/>
      <c r="E134" s="31"/>
      <c r="F134" s="31"/>
      <c r="G134" s="32"/>
      <c r="H134" s="33"/>
      <c r="I134" s="33"/>
      <c r="J134" s="4"/>
      <c r="K134" s="4"/>
      <c r="L134" s="4"/>
    </row>
    <row r="135" spans="1:12" s="34" customFormat="1" ht="18">
      <c r="A135" s="4"/>
      <c r="B135" s="30"/>
      <c r="C135" s="31"/>
      <c r="D135" s="31"/>
      <c r="E135" s="31"/>
      <c r="F135" s="31"/>
      <c r="G135" s="32"/>
      <c r="H135" s="33"/>
      <c r="I135" s="33"/>
      <c r="J135" s="4"/>
      <c r="K135" s="4"/>
      <c r="L135" s="4"/>
    </row>
    <row r="136" spans="1:12" s="34" customFormat="1" ht="18">
      <c r="A136" s="4"/>
      <c r="B136" s="30"/>
      <c r="C136" s="31"/>
      <c r="D136" s="31"/>
      <c r="E136" s="31"/>
      <c r="F136" s="31"/>
      <c r="G136" s="32"/>
      <c r="H136" s="33"/>
      <c r="I136" s="33"/>
      <c r="J136" s="4"/>
      <c r="K136" s="4"/>
      <c r="L136" s="4"/>
    </row>
    <row r="137" spans="1:12" s="34" customFormat="1" ht="18">
      <c r="A137" s="4"/>
      <c r="B137" s="30"/>
      <c r="C137" s="31"/>
      <c r="D137" s="31"/>
      <c r="E137" s="31"/>
      <c r="F137" s="31"/>
      <c r="G137" s="32"/>
      <c r="H137" s="33"/>
      <c r="I137" s="33"/>
      <c r="J137" s="4"/>
      <c r="K137" s="4"/>
      <c r="L137" s="4"/>
    </row>
    <row r="138" spans="1:12" s="34" customFormat="1" ht="18">
      <c r="A138" s="4"/>
      <c r="B138" s="30"/>
      <c r="C138" s="31"/>
      <c r="D138" s="31"/>
      <c r="E138" s="31"/>
      <c r="F138" s="31"/>
      <c r="G138" s="32"/>
      <c r="H138" s="33"/>
      <c r="I138" s="33"/>
      <c r="J138" s="4"/>
      <c r="K138" s="4"/>
      <c r="L138" s="4"/>
    </row>
    <row r="139" spans="1:12" ht="18">
      <c r="A139" s="4"/>
      <c r="B139" s="30"/>
      <c r="C139" s="35"/>
      <c r="D139" s="35"/>
      <c r="E139" s="35"/>
      <c r="F139" s="35"/>
      <c r="G139" s="25"/>
      <c r="J139" s="4"/>
      <c r="K139" s="4"/>
      <c r="L139" s="4"/>
    </row>
    <row r="140" spans="1:12" ht="18">
      <c r="A140" s="4"/>
      <c r="B140" s="70" t="s">
        <v>282</v>
      </c>
      <c r="C140" s="71"/>
      <c r="D140" s="35"/>
      <c r="E140" s="35"/>
      <c r="F140" s="35"/>
      <c r="G140" s="25"/>
      <c r="J140" s="4"/>
      <c r="K140" s="4"/>
      <c r="L140" s="4"/>
    </row>
    <row r="141" spans="1:12" s="36" customFormat="1" ht="18">
      <c r="A141" s="4"/>
      <c r="B141" s="30"/>
      <c r="C141" s="35"/>
      <c r="D141" s="35"/>
      <c r="E141" s="35"/>
      <c r="F141" s="35"/>
      <c r="G141" s="25"/>
      <c r="J141" s="4"/>
      <c r="K141" s="4"/>
      <c r="L141" s="4"/>
    </row>
    <row r="142" spans="1:12" ht="18">
      <c r="A142" s="4"/>
      <c r="B142" s="30"/>
      <c r="C142" s="26"/>
      <c r="D142" s="26"/>
      <c r="E142" s="26"/>
      <c r="F142" s="387" t="s">
        <v>317</v>
      </c>
      <c r="J142" s="4"/>
      <c r="K142" s="4"/>
      <c r="L142" s="4"/>
    </row>
    <row r="143" spans="2:12" ht="12.75">
      <c r="B143" s="378" t="str">
        <f>B84</f>
        <v>A. La nivel de luna - pentru anul N</v>
      </c>
      <c r="C143" s="4"/>
      <c r="D143" s="2"/>
      <c r="J143" s="2"/>
      <c r="K143" s="2"/>
      <c r="L143" s="2"/>
    </row>
    <row r="144" spans="1:14" ht="12.75">
      <c r="A144" s="37"/>
      <c r="B144" s="460" t="s">
        <v>33</v>
      </c>
      <c r="C144" s="66">
        <v>1</v>
      </c>
      <c r="D144" s="66">
        <v>2</v>
      </c>
      <c r="E144" s="66">
        <v>3</v>
      </c>
      <c r="F144" s="66">
        <v>4</v>
      </c>
      <c r="G144" s="66">
        <v>5</v>
      </c>
      <c r="H144" s="66">
        <v>6</v>
      </c>
      <c r="I144" s="66">
        <v>7</v>
      </c>
      <c r="J144" s="66">
        <v>8</v>
      </c>
      <c r="K144" s="66">
        <v>9</v>
      </c>
      <c r="L144" s="66">
        <v>10</v>
      </c>
      <c r="M144" s="66">
        <v>11</v>
      </c>
      <c r="N144" s="66">
        <v>12</v>
      </c>
    </row>
    <row r="145" spans="2:14" ht="12.75">
      <c r="B145" s="72" t="s">
        <v>334</v>
      </c>
      <c r="C145" s="423">
        <v>12000</v>
      </c>
      <c r="D145" s="424">
        <v>0</v>
      </c>
      <c r="E145" s="424">
        <v>25000</v>
      </c>
      <c r="F145" s="424">
        <v>0</v>
      </c>
      <c r="G145" s="424">
        <v>0</v>
      </c>
      <c r="H145" s="424">
        <v>0</v>
      </c>
      <c r="I145" s="424">
        <v>0</v>
      </c>
      <c r="J145" s="424">
        <v>0</v>
      </c>
      <c r="K145" s="424">
        <v>0</v>
      </c>
      <c r="L145" s="424">
        <v>0</v>
      </c>
      <c r="M145" s="424">
        <v>0</v>
      </c>
      <c r="N145" s="424">
        <v>0</v>
      </c>
    </row>
    <row r="146" spans="1:12" ht="16.5" customHeight="1">
      <c r="A146" s="38"/>
      <c r="B146" s="63" t="s">
        <v>330</v>
      </c>
      <c r="C146" s="417">
        <v>0.25</v>
      </c>
      <c r="D146" s="367">
        <f>IF(C146&gt;100%,"Procentul de vanzări pe credit nu poate fi mai mare de 100%","")</f>
      </c>
      <c r="E146" s="15"/>
      <c r="J146" s="2"/>
      <c r="K146" s="2"/>
      <c r="L146" s="2"/>
    </row>
    <row r="147" spans="1:15" ht="12.75" customHeight="1" hidden="1">
      <c r="A147" s="38"/>
      <c r="B147" s="63" t="s">
        <v>34</v>
      </c>
      <c r="C147" s="418">
        <f>$C$146*'Cont de Rezultat'!D15</f>
        <v>400000</v>
      </c>
      <c r="D147" s="368">
        <f>$C$146*'Cont de Rezultat'!E15</f>
        <v>470000</v>
      </c>
      <c r="E147" s="29">
        <f>$C$146*'Cont de Rezultat'!F15</f>
        <v>474725</v>
      </c>
      <c r="F147" s="29">
        <f>$C$146*'Cont de Rezultat'!G15</f>
        <v>481214</v>
      </c>
      <c r="G147" s="29">
        <f>$C$146*'Cont de Rezultat'!H15</f>
        <v>512464</v>
      </c>
      <c r="H147" s="29">
        <f>$C$146*'Cont de Rezultat'!I15</f>
        <v>529335.4</v>
      </c>
      <c r="I147" s="29">
        <f>$C$146*'Cont de Rezultat'!J15</f>
        <v>536758.816</v>
      </c>
      <c r="J147" s="29">
        <f>$C$146*'Cont de Rezultat'!K15</f>
        <v>536758.816</v>
      </c>
      <c r="K147" s="29">
        <f>$C$146*'Cont de Rezultat'!L15</f>
        <v>559919.87392</v>
      </c>
      <c r="L147" s="29">
        <f>$C$146*'Cont de Rezultat'!M15</f>
        <v>594294.8739200002</v>
      </c>
      <c r="M147" s="29">
        <f>$C$146*'Cont de Rezultat'!N15</f>
        <v>749326.12392</v>
      </c>
      <c r="N147" s="29">
        <f>$C$146*'Cont de Rezultat'!O15</f>
        <v>749326.12392</v>
      </c>
      <c r="O147" s="11">
        <f>SUM(C147:N147)</f>
        <v>6594123.02768</v>
      </c>
    </row>
    <row r="148" spans="1:15" ht="12.75" customHeight="1" hidden="1">
      <c r="A148" s="38"/>
      <c r="B148" s="63" t="s">
        <v>35</v>
      </c>
      <c r="C148" s="418">
        <f>$C$154*'Cont de Rezultat'!D19</f>
        <v>55500</v>
      </c>
      <c r="D148" s="369">
        <f>$C$154*'Cont de Rezultat'!E19</f>
        <v>58275</v>
      </c>
      <c r="E148" s="29">
        <f>$C$154*'Cont de Rezultat'!F19</f>
        <v>60023.25</v>
      </c>
      <c r="F148" s="29">
        <f>$C$154*'Cont de Rezultat'!G19</f>
        <v>62424.18</v>
      </c>
      <c r="G148" s="29">
        <f>$C$154*'Cont de Rezultat'!H19</f>
        <v>62424.18</v>
      </c>
      <c r="H148" s="29">
        <f>$C$154*'Cont de Rezultat'!I19</f>
        <v>68666.59800000001</v>
      </c>
      <c r="I148" s="29">
        <f>$C$154*'Cont de Rezultat'!J19</f>
        <v>71413.26192</v>
      </c>
      <c r="J148" s="29">
        <f>$C$154*'Cont de Rezultat'!K19</f>
        <v>71413.26192</v>
      </c>
      <c r="K148" s="29">
        <f>$C$154*'Cont de Rezultat'!L19</f>
        <v>79982.85335040002</v>
      </c>
      <c r="L148" s="29">
        <f>$C$154*'Cont de Rezultat'!M19</f>
        <v>79982.85335040002</v>
      </c>
      <c r="M148" s="29">
        <f>$C$154*'Cont de Rezultat'!N19</f>
        <v>79982.85335040002</v>
      </c>
      <c r="N148" s="29">
        <f>$C$154*'Cont de Rezultat'!O19</f>
        <v>79982.85335040002</v>
      </c>
      <c r="O148" s="11">
        <f>SUM(C148:N148)</f>
        <v>830071.1452416</v>
      </c>
    </row>
    <row r="149" spans="1:15" ht="12.75">
      <c r="A149" s="38"/>
      <c r="B149" s="384" t="s">
        <v>335</v>
      </c>
      <c r="C149" s="419">
        <v>50000</v>
      </c>
      <c r="D149" s="36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4" ht="12.75">
      <c r="B150" s="63" t="s">
        <v>336</v>
      </c>
      <c r="C150" s="419">
        <v>350000</v>
      </c>
      <c r="D150" s="365">
        <f>C150/'Cont de Rezultat'!$D$15</f>
        <v>0.21875</v>
      </c>
      <c r="E150" s="4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63" t="s">
        <v>337</v>
      </c>
      <c r="C151" s="419">
        <v>250000</v>
      </c>
      <c r="D151" s="365">
        <f>C151/$C$147</f>
        <v>0.625</v>
      </c>
      <c r="E151" s="4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63" t="s">
        <v>338</v>
      </c>
      <c r="C152" s="419">
        <v>56000</v>
      </c>
      <c r="D152" s="365">
        <f>C152/'Cont de Rezultat'!$D$15</f>
        <v>0.035</v>
      </c>
      <c r="E152" s="4"/>
      <c r="F152" s="2"/>
      <c r="G152" s="2"/>
      <c r="H152" s="2"/>
      <c r="I152" s="2"/>
      <c r="J152" s="2"/>
      <c r="K152" s="2"/>
      <c r="L152" s="2"/>
      <c r="M152" s="2"/>
      <c r="N152" s="2"/>
    </row>
    <row r="153" spans="2:12" ht="25.5">
      <c r="B153" s="384" t="s">
        <v>367</v>
      </c>
      <c r="C153" s="419">
        <v>100000</v>
      </c>
      <c r="D153" s="364"/>
      <c r="J153" s="2"/>
      <c r="K153" s="2"/>
      <c r="L153" s="2"/>
    </row>
    <row r="154" spans="1:12" ht="25.5">
      <c r="A154" s="38"/>
      <c r="B154" s="73" t="s">
        <v>331</v>
      </c>
      <c r="C154" s="420">
        <v>0.25</v>
      </c>
      <c r="D154" s="366">
        <f>IF(C154&gt;100%,"Procentul de achiziţii pe credit nu poate fi mai mare de 100%","")</f>
      </c>
      <c r="E154" s="28"/>
      <c r="J154" s="2"/>
      <c r="K154" s="2"/>
      <c r="L154" s="2"/>
    </row>
    <row r="155" spans="2:12" ht="12.75">
      <c r="B155" s="74" t="s">
        <v>366</v>
      </c>
      <c r="C155" s="421">
        <v>100000</v>
      </c>
      <c r="D155" s="364">
        <f>C155/C148</f>
        <v>1.8018018018018018</v>
      </c>
      <c r="J155" s="2"/>
      <c r="K155" s="2"/>
      <c r="L155" s="2"/>
    </row>
    <row r="156" spans="2:12" ht="12.75">
      <c r="B156" s="74" t="s">
        <v>340</v>
      </c>
      <c r="C156" s="422">
        <v>85000</v>
      </c>
      <c r="D156" s="364">
        <f>C156/'Cont de Rezultat'!D15</f>
        <v>0.053125</v>
      </c>
      <c r="J156" s="2"/>
      <c r="K156" s="2"/>
      <c r="L156" s="2"/>
    </row>
    <row r="157" spans="2:12" ht="12.75">
      <c r="B157" s="30"/>
      <c r="D157" s="4"/>
      <c r="J157" s="2"/>
      <c r="K157" s="2"/>
      <c r="L157" s="2"/>
    </row>
    <row r="158" spans="2:12" ht="18">
      <c r="B158" s="4"/>
      <c r="C158" s="4"/>
      <c r="D158" s="4"/>
      <c r="F158" s="387" t="s">
        <v>317</v>
      </c>
      <c r="J158" s="2"/>
      <c r="K158" s="2"/>
      <c r="L158" s="2"/>
    </row>
    <row r="159" spans="2:12" ht="12.75">
      <c r="B159" s="378" t="str">
        <f>B107</f>
        <v>B. La nivel de an - pentru anii N+1 - N+4</v>
      </c>
      <c r="C159" s="4"/>
      <c r="D159" s="4"/>
      <c r="J159" s="2"/>
      <c r="K159" s="2"/>
      <c r="L159" s="2"/>
    </row>
    <row r="160" spans="2:12" ht="12.75">
      <c r="B160" s="62" t="s">
        <v>33</v>
      </c>
      <c r="C160" s="66" t="s">
        <v>36</v>
      </c>
      <c r="D160" s="66" t="s">
        <v>37</v>
      </c>
      <c r="E160" s="66" t="s">
        <v>38</v>
      </c>
      <c r="F160" s="66" t="s">
        <v>39</v>
      </c>
      <c r="J160" s="2"/>
      <c r="K160" s="2"/>
      <c r="L160" s="2"/>
    </row>
    <row r="161" spans="2:12" ht="18">
      <c r="B161" s="63" t="s">
        <v>330</v>
      </c>
      <c r="C161" s="425">
        <v>0.15</v>
      </c>
      <c r="D161" s="425">
        <v>0.2</v>
      </c>
      <c r="E161" s="425">
        <v>0.2</v>
      </c>
      <c r="F161" s="425">
        <v>0.25</v>
      </c>
      <c r="G161" s="39">
        <f>IF(OR(C161&gt;100%,D161&gt;100%,E161&gt;100%,F161&gt;100%),"Procentul de vanzări pe credit nu poate fi mai mare de 100%","")</f>
      </c>
      <c r="J161" s="2"/>
      <c r="K161" s="2"/>
      <c r="L161" s="2"/>
    </row>
    <row r="162" spans="2:12" ht="12.75" hidden="1">
      <c r="B162" s="63" t="s">
        <v>40</v>
      </c>
      <c r="C162" s="426">
        <f>C161*'Cont de Rezultat'!E55</f>
        <v>4113915.6679401603</v>
      </c>
      <c r="D162" s="426">
        <f>D161*'Cont de Rezultat'!F55</f>
        <v>5704562.633398619</v>
      </c>
      <c r="E162" s="426">
        <f>E161*'Cont de Rezultat'!G55</f>
        <v>6087265.332316591</v>
      </c>
      <c r="F162" s="426">
        <f>F161*'Cont de Rezultat'!H55</f>
        <v>7918113.196781779</v>
      </c>
      <c r="J162" s="2"/>
      <c r="K162" s="2"/>
      <c r="L162" s="2"/>
    </row>
    <row r="163" spans="2:12" ht="12.75" hidden="1">
      <c r="B163" s="63" t="s">
        <v>41</v>
      </c>
      <c r="C163" s="427">
        <f>$D$150/12</f>
        <v>0.018229166666666668</v>
      </c>
      <c r="D163" s="427">
        <f>$D$150/12</f>
        <v>0.018229166666666668</v>
      </c>
      <c r="E163" s="427">
        <f>$D$150/12</f>
        <v>0.018229166666666668</v>
      </c>
      <c r="F163" s="427">
        <f>$D$150/12</f>
        <v>0.018229166666666668</v>
      </c>
      <c r="J163" s="2"/>
      <c r="K163" s="2"/>
      <c r="L163" s="2"/>
    </row>
    <row r="164" spans="2:12" ht="12.75" hidden="1">
      <c r="B164" s="63" t="s">
        <v>42</v>
      </c>
      <c r="C164" s="428">
        <f>$D$151</f>
        <v>0.625</v>
      </c>
      <c r="D164" s="428">
        <f>$D$151</f>
        <v>0.625</v>
      </c>
      <c r="E164" s="428">
        <f>$D$151</f>
        <v>0.625</v>
      </c>
      <c r="F164" s="428">
        <f>$D$151</f>
        <v>0.625</v>
      </c>
      <c r="J164" s="2"/>
      <c r="K164" s="2"/>
      <c r="L164" s="2"/>
    </row>
    <row r="165" spans="2:12" ht="12.75" hidden="1">
      <c r="B165" s="68" t="s">
        <v>43</v>
      </c>
      <c r="C165" s="429">
        <f>$D$152</f>
        <v>0.035</v>
      </c>
      <c r="D165" s="429">
        <f>$D$152</f>
        <v>0.035</v>
      </c>
      <c r="E165" s="429">
        <f>$D$152</f>
        <v>0.035</v>
      </c>
      <c r="F165" s="429">
        <f>$D$152</f>
        <v>0.035</v>
      </c>
      <c r="J165" s="2"/>
      <c r="K165" s="2"/>
      <c r="L165" s="2"/>
    </row>
    <row r="166" spans="2:12" ht="18">
      <c r="B166" s="73" t="s">
        <v>331</v>
      </c>
      <c r="C166" s="430">
        <v>0.15</v>
      </c>
      <c r="D166" s="430">
        <v>0.25</v>
      </c>
      <c r="E166" s="430">
        <v>0.3</v>
      </c>
      <c r="F166" s="430">
        <v>0.35</v>
      </c>
      <c r="G166" s="40">
        <f>IF(OR(C166&gt;100%,D166&gt;100%,E166&gt;100%,F166&gt;100%),"Procentul de achiziţii pe credit nu poate fi mai mare de 100%","")</f>
      </c>
      <c r="J166" s="2"/>
      <c r="K166" s="2"/>
      <c r="L166" s="2"/>
    </row>
    <row r="167" spans="2:12" ht="18" hidden="1">
      <c r="B167" s="74" t="s">
        <v>44</v>
      </c>
      <c r="C167" s="421">
        <f>C166*'Cont de Rezultat'!E59</f>
        <v>508003.54088785936</v>
      </c>
      <c r="D167" s="421">
        <f>D166*'Cont de Rezultat'!F59</f>
        <v>863606.0195093609</v>
      </c>
      <c r="E167" s="421">
        <f>E166*'Cont de Rezultat'!G59</f>
        <v>1057053.7678794577</v>
      </c>
      <c r="F167" s="421">
        <f>F166*'Cont de Rezultat'!H59</f>
        <v>1257893.9837765545</v>
      </c>
      <c r="G167" s="40"/>
      <c r="J167" s="2"/>
      <c r="K167" s="2"/>
      <c r="L167" s="2"/>
    </row>
    <row r="168" spans="2:12" ht="18">
      <c r="B168" s="74" t="s">
        <v>341</v>
      </c>
      <c r="C168" s="421">
        <v>0</v>
      </c>
      <c r="D168" s="421">
        <v>0</v>
      </c>
      <c r="E168" s="421">
        <v>0</v>
      </c>
      <c r="F168" s="421">
        <v>0</v>
      </c>
      <c r="G168" s="40"/>
      <c r="J168" s="2"/>
      <c r="K168" s="2"/>
      <c r="L168" s="2"/>
    </row>
    <row r="169" spans="2:12" ht="18" hidden="1">
      <c r="B169" s="74" t="s">
        <v>45</v>
      </c>
      <c r="C169" s="421">
        <f>$D$155</f>
        <v>1.8018018018018018</v>
      </c>
      <c r="D169" s="421">
        <f>$D$155</f>
        <v>1.8018018018018018</v>
      </c>
      <c r="E169" s="421">
        <f>$D$155</f>
        <v>1.8018018018018018</v>
      </c>
      <c r="F169" s="421">
        <f>$D$155</f>
        <v>1.8018018018018018</v>
      </c>
      <c r="G169" s="40">
        <f>IF(OR(C169&gt;100,D169&gt;100,E169&gt;100,F169&gt;100),"Procentul de achiziţii pe credit nu poate fi mai mare de 100","")</f>
      </c>
      <c r="J169" s="2"/>
      <c r="K169" s="2"/>
      <c r="L169" s="2"/>
    </row>
    <row r="170" spans="2:12" ht="12.75" hidden="1">
      <c r="B170" s="74" t="s">
        <v>46</v>
      </c>
      <c r="C170" s="421">
        <f>$D$156</f>
        <v>0.053125</v>
      </c>
      <c r="D170" s="421">
        <f>$D$156</f>
        <v>0.053125</v>
      </c>
      <c r="E170" s="421">
        <f>$D$156</f>
        <v>0.053125</v>
      </c>
      <c r="F170" s="421">
        <f>$D$156</f>
        <v>0.053125</v>
      </c>
      <c r="J170" s="2"/>
      <c r="K170" s="2"/>
      <c r="L170" s="2"/>
    </row>
    <row r="171" spans="2:12" ht="12.75">
      <c r="B171" s="363" t="s">
        <v>342</v>
      </c>
      <c r="C171" s="421">
        <v>0</v>
      </c>
      <c r="D171" s="421">
        <v>250000</v>
      </c>
      <c r="E171" s="421">
        <v>0</v>
      </c>
      <c r="F171" s="421">
        <v>0</v>
      </c>
      <c r="J171" s="2"/>
      <c r="K171" s="2"/>
      <c r="L171" s="2"/>
    </row>
    <row r="172" spans="1:12" ht="12.75">
      <c r="A172" s="36"/>
      <c r="B172" s="4"/>
      <c r="C172" s="4"/>
      <c r="D172" s="4"/>
      <c r="J172" s="2"/>
      <c r="K172" s="2"/>
      <c r="L172" s="2"/>
    </row>
    <row r="173" spans="1:12" ht="12.75">
      <c r="A173" s="36"/>
      <c r="B173" s="4"/>
      <c r="C173" s="4"/>
      <c r="D173" s="4"/>
      <c r="J173" s="2"/>
      <c r="K173" s="2"/>
      <c r="L173" s="2"/>
    </row>
    <row r="174" spans="1:12" ht="12.75">
      <c r="A174" s="36"/>
      <c r="B174" s="4"/>
      <c r="C174" s="4"/>
      <c r="D174" s="4"/>
      <c r="J174" s="2"/>
      <c r="K174" s="2"/>
      <c r="L174" s="2"/>
    </row>
    <row r="175" spans="1:12" ht="12.75">
      <c r="A175" s="36"/>
      <c r="B175" s="4"/>
      <c r="C175" s="4"/>
      <c r="D175" s="4"/>
      <c r="J175" s="2"/>
      <c r="K175" s="2"/>
      <c r="L175" s="2"/>
    </row>
    <row r="176" spans="1:12" ht="12.75">
      <c r="A176" s="36"/>
      <c r="B176" s="4"/>
      <c r="C176" s="4"/>
      <c r="D176" s="4"/>
      <c r="J176" s="2"/>
      <c r="K176" s="2"/>
      <c r="L176" s="2"/>
    </row>
    <row r="177" spans="1:12" ht="12.75">
      <c r="A177" s="36"/>
      <c r="B177" s="4"/>
      <c r="C177" s="4"/>
      <c r="D177" s="4"/>
      <c r="J177" s="2"/>
      <c r="K177" s="2"/>
      <c r="L177" s="2"/>
    </row>
    <row r="178" spans="1:12" ht="12.75">
      <c r="A178" s="36"/>
      <c r="B178" s="4"/>
      <c r="C178" s="4"/>
      <c r="D178" s="4"/>
      <c r="J178" s="2"/>
      <c r="K178" s="2"/>
      <c r="L178" s="2"/>
    </row>
    <row r="179" spans="1:12" ht="12.75">
      <c r="A179" s="36"/>
      <c r="B179" s="4"/>
      <c r="C179" s="4"/>
      <c r="D179" s="4"/>
      <c r="J179" s="2"/>
      <c r="K179" s="2"/>
      <c r="L179" s="2"/>
    </row>
    <row r="180" spans="1:12" ht="12.75">
      <c r="A180" s="36"/>
      <c r="B180" s="4"/>
      <c r="C180" s="4"/>
      <c r="D180" s="4"/>
      <c r="J180" s="2"/>
      <c r="K180" s="2"/>
      <c r="L180" s="2"/>
    </row>
    <row r="181" spans="1:12" ht="12.75">
      <c r="A181" s="36"/>
      <c r="B181" s="4"/>
      <c r="C181" s="4"/>
      <c r="D181" s="4"/>
      <c r="J181" s="2"/>
      <c r="K181" s="2"/>
      <c r="L181" s="2"/>
    </row>
    <row r="182" spans="1:12" ht="12.75">
      <c r="A182" s="36"/>
      <c r="B182" s="4"/>
      <c r="C182" s="4"/>
      <c r="D182" s="4"/>
      <c r="J182" s="2"/>
      <c r="K182" s="2"/>
      <c r="L182" s="2"/>
    </row>
    <row r="183" spans="1:12" ht="12.75">
      <c r="A183" s="36"/>
      <c r="B183" s="4"/>
      <c r="C183" s="4"/>
      <c r="D183" s="4"/>
      <c r="J183" s="2"/>
      <c r="K183" s="2"/>
      <c r="L183" s="2"/>
    </row>
    <row r="184" spans="1:12" ht="12.75">
      <c r="A184" s="36"/>
      <c r="B184" s="4"/>
      <c r="C184" s="4"/>
      <c r="D184" s="4"/>
      <c r="J184" s="2"/>
      <c r="K184" s="2"/>
      <c r="L184" s="2"/>
    </row>
    <row r="185" spans="1:12" ht="12.75">
      <c r="A185" s="36"/>
      <c r="B185" s="4"/>
      <c r="C185" s="4"/>
      <c r="D185" s="4"/>
      <c r="J185" s="2"/>
      <c r="K185" s="2"/>
      <c r="L185" s="2"/>
    </row>
    <row r="186" spans="1:12" ht="12.75">
      <c r="A186" s="36"/>
      <c r="B186" s="4"/>
      <c r="C186" s="4"/>
      <c r="D186" s="4"/>
      <c r="J186" s="2"/>
      <c r="K186" s="2"/>
      <c r="L186" s="2"/>
    </row>
    <row r="187" spans="1:12" ht="12.75">
      <c r="A187" s="36"/>
      <c r="B187" s="4"/>
      <c r="C187" s="4"/>
      <c r="D187" s="4"/>
      <c r="J187" s="2"/>
      <c r="K187" s="2"/>
      <c r="L187" s="2"/>
    </row>
    <row r="188" spans="1:12" ht="12.75">
      <c r="A188" s="36"/>
      <c r="B188" s="4"/>
      <c r="C188" s="4"/>
      <c r="D188" s="4"/>
      <c r="J188" s="2"/>
      <c r="K188" s="2"/>
      <c r="L188" s="2"/>
    </row>
    <row r="189" spans="1:12" ht="12.75">
      <c r="A189" s="36"/>
      <c r="B189" s="4"/>
      <c r="C189" s="4"/>
      <c r="D189" s="4"/>
      <c r="J189" s="2"/>
      <c r="K189" s="2"/>
      <c r="L189" s="2"/>
    </row>
    <row r="190" spans="1:12" ht="12.75">
      <c r="A190" s="36"/>
      <c r="B190" s="4"/>
      <c r="C190" s="4"/>
      <c r="D190" s="4"/>
      <c r="J190" s="2"/>
      <c r="K190" s="2"/>
      <c r="L190" s="2"/>
    </row>
    <row r="191" spans="1:12" ht="12.75">
      <c r="A191" s="36"/>
      <c r="B191" s="4"/>
      <c r="C191" s="4"/>
      <c r="D191" s="4"/>
      <c r="J191" s="2"/>
      <c r="K191" s="2"/>
      <c r="L191" s="2"/>
    </row>
    <row r="192" spans="1:12" ht="12.75">
      <c r="A192" s="36"/>
      <c r="B192" s="4"/>
      <c r="C192" s="4"/>
      <c r="D192" s="4"/>
      <c r="J192" s="2"/>
      <c r="K192" s="2"/>
      <c r="L192" s="2"/>
    </row>
    <row r="193" spans="1:12" ht="12.75">
      <c r="A193" s="36"/>
      <c r="B193" s="4"/>
      <c r="C193" s="4"/>
      <c r="D193" s="4"/>
      <c r="J193" s="2"/>
      <c r="K193" s="2"/>
      <c r="L193" s="2"/>
    </row>
    <row r="194" spans="1:12" ht="12.75">
      <c r="A194" s="36"/>
      <c r="B194" s="4"/>
      <c r="C194" s="4"/>
      <c r="D194" s="4"/>
      <c r="J194" s="2"/>
      <c r="K194" s="2"/>
      <c r="L194" s="2"/>
    </row>
    <row r="195" spans="1:12" ht="12.75">
      <c r="A195" s="36"/>
      <c r="B195" s="4"/>
      <c r="C195" s="4"/>
      <c r="D195" s="4"/>
      <c r="J195" s="2"/>
      <c r="K195" s="2"/>
      <c r="L195" s="2"/>
    </row>
    <row r="196" spans="1:12" ht="12.75">
      <c r="A196" s="36"/>
      <c r="B196" s="4"/>
      <c r="C196" s="4"/>
      <c r="D196" s="4"/>
      <c r="J196" s="2"/>
      <c r="K196" s="2"/>
      <c r="L196" s="2"/>
    </row>
    <row r="197" spans="1:12" ht="12.75">
      <c r="A197" s="36"/>
      <c r="B197" s="4"/>
      <c r="C197" s="4"/>
      <c r="D197" s="4"/>
      <c r="J197" s="2"/>
      <c r="K197" s="2"/>
      <c r="L197" s="2"/>
    </row>
    <row r="198" spans="1:12" ht="12.75">
      <c r="A198" s="36"/>
      <c r="B198" s="4"/>
      <c r="C198" s="4"/>
      <c r="D198" s="4"/>
      <c r="J198" s="2"/>
      <c r="K198" s="2"/>
      <c r="L198" s="2"/>
    </row>
    <row r="199" spans="1:12" ht="12.75">
      <c r="A199" s="36"/>
      <c r="B199" s="4"/>
      <c r="C199" s="4"/>
      <c r="D199" s="4"/>
      <c r="J199" s="2"/>
      <c r="K199" s="2"/>
      <c r="L199" s="2"/>
    </row>
    <row r="200" spans="1:12" ht="12.75">
      <c r="A200" s="36"/>
      <c r="B200" s="4"/>
      <c r="C200" s="4"/>
      <c r="D200" s="4"/>
      <c r="J200" s="2"/>
      <c r="K200" s="2"/>
      <c r="L200" s="2"/>
    </row>
    <row r="201" spans="1:12" ht="12.75">
      <c r="A201" s="36"/>
      <c r="B201" s="4"/>
      <c r="C201" s="4"/>
      <c r="D201" s="4"/>
      <c r="J201" s="2"/>
      <c r="K201" s="2"/>
      <c r="L201" s="2"/>
    </row>
    <row r="202" spans="1:12" ht="12.75">
      <c r="A202" s="36"/>
      <c r="B202" s="4"/>
      <c r="C202" s="4"/>
      <c r="D202" s="4"/>
      <c r="J202" s="2"/>
      <c r="K202" s="2"/>
      <c r="L202" s="2"/>
    </row>
    <row r="203" spans="1:12" ht="18">
      <c r="A203" s="36"/>
      <c r="B203" s="75" t="s">
        <v>284</v>
      </c>
      <c r="C203" s="76"/>
      <c r="D203" s="76"/>
      <c r="E203" s="53"/>
      <c r="J203" s="2"/>
      <c r="K203" s="2"/>
      <c r="L203" s="2"/>
    </row>
    <row r="204" spans="1:12" ht="18">
      <c r="A204" s="10"/>
      <c r="B204" s="4"/>
      <c r="C204" s="4"/>
      <c r="D204" s="2"/>
      <c r="F204" s="387" t="s">
        <v>317</v>
      </c>
      <c r="J204" s="2"/>
      <c r="K204" s="2"/>
      <c r="L204" s="2"/>
    </row>
    <row r="205" spans="1:12" ht="18">
      <c r="A205" s="36"/>
      <c r="B205" s="363" t="s">
        <v>310</v>
      </c>
      <c r="C205" s="431">
        <v>19</v>
      </c>
      <c r="D205" s="25">
        <f>IF(C205&gt;100,"Rate de actualizare este exprimată în procente şi nu trebuie să fie mai mare de 100","")</f>
      </c>
      <c r="J205" s="2"/>
      <c r="K205" s="2"/>
      <c r="L205" s="2"/>
    </row>
    <row r="206" spans="1:12" ht="12.75">
      <c r="A206" s="36"/>
      <c r="B206" s="363" t="s">
        <v>309</v>
      </c>
      <c r="C206" s="421">
        <v>8000000</v>
      </c>
      <c r="D206" s="4"/>
      <c r="J206" s="2"/>
      <c r="K206" s="2"/>
      <c r="L206" s="2"/>
    </row>
    <row r="207" spans="1:12" ht="12.75">
      <c r="A207" s="36"/>
      <c r="B207" s="4"/>
      <c r="C207" s="4"/>
      <c r="D207" s="2"/>
      <c r="J207" s="2"/>
      <c r="K207" s="2"/>
      <c r="L207" s="2"/>
    </row>
    <row r="208" spans="1:12" ht="12.75">
      <c r="A208" s="10"/>
      <c r="B208" s="4"/>
      <c r="C208" s="2"/>
      <c r="D208" s="2"/>
      <c r="J208" s="2"/>
      <c r="K208" s="2"/>
      <c r="L208" s="2"/>
    </row>
    <row r="209" spans="1:12" ht="12.75">
      <c r="A209" s="36"/>
      <c r="B209" s="4"/>
      <c r="C209" s="2"/>
      <c r="D209" s="2"/>
      <c r="J209" s="2"/>
      <c r="K209" s="2"/>
      <c r="L209" s="2"/>
    </row>
    <row r="210" spans="1:12" ht="12.75">
      <c r="A210" s="36"/>
      <c r="B210" s="4"/>
      <c r="C210" s="2"/>
      <c r="D210" s="2"/>
      <c r="J210" s="2"/>
      <c r="K210" s="2"/>
      <c r="L210" s="2"/>
    </row>
    <row r="211" spans="1:12" ht="12.75">
      <c r="A211" s="36"/>
      <c r="B211" s="4"/>
      <c r="C211" s="2"/>
      <c r="D211" s="2"/>
      <c r="J211" s="2"/>
      <c r="K211" s="2"/>
      <c r="L211" s="2"/>
    </row>
    <row r="212" spans="1:12" ht="12.75">
      <c r="A212" s="10"/>
      <c r="B212" s="4"/>
      <c r="C212" s="2"/>
      <c r="D212" s="2"/>
      <c r="J212" s="2"/>
      <c r="K212" s="2"/>
      <c r="L212" s="2"/>
    </row>
    <row r="213" spans="1:5" ht="23.25">
      <c r="A213" s="36"/>
      <c r="B213" s="390" t="s">
        <v>332</v>
      </c>
      <c r="C213" s="391"/>
      <c r="D213" s="391"/>
      <c r="E213" s="391"/>
    </row>
    <row r="214" ht="12.75"/>
    <row r="216" ht="12.75"/>
    <row r="218" ht="12.75"/>
    <row r="219" ht="12.75"/>
    <row r="221" ht="12.75"/>
    <row r="222" ht="12.75"/>
    <row r="232" ht="12.75"/>
    <row r="233" ht="12.75"/>
    <row r="234" ht="12.75"/>
    <row r="238" ht="12.75"/>
    <row r="240" ht="12.75"/>
    <row r="270" ht="12.75"/>
    <row r="271" ht="12.75"/>
    <row r="272" ht="12.75"/>
    <row r="273" ht="12.75"/>
    <row r="276" ht="12.75"/>
    <row r="278" ht="12.75"/>
    <row r="279" ht="12.75"/>
    <row r="280" ht="12.75"/>
    <row r="281" ht="12.75"/>
    <row r="286" ht="12.75"/>
    <row r="287" ht="12.75"/>
    <row r="288" ht="12.75"/>
    <row r="289" ht="12.75"/>
    <row r="292" ht="12.75"/>
    <row r="293" ht="12.75"/>
    <row r="294" ht="12.75"/>
  </sheetData>
  <sheetProtection password="CD2C" sheet="1" objects="1" scenarios="1"/>
  <mergeCells count="1">
    <mergeCell ref="C85:N85"/>
  </mergeCells>
  <conditionalFormatting sqref="D88:D93">
    <cfRule type="cellIs" priority="1" dxfId="0" operator="greaterThan" stopIfTrue="1">
      <formula>100</formula>
    </cfRule>
  </conditionalFormatting>
  <conditionalFormatting sqref="C109:C112 C114:C119">
    <cfRule type="cellIs" priority="2" dxfId="0" operator="notBetween" stopIfTrue="1">
      <formula>-100</formula>
      <formula>100</formula>
    </cfRule>
  </conditionalFormatting>
  <conditionalFormatting sqref="C166:F166 C154 C161:F161 C122:F141">
    <cfRule type="cellIs" priority="3" dxfId="0" operator="notBetween" stopIfTrue="1">
      <formula>0</formula>
      <formula>1</formula>
    </cfRule>
  </conditionalFormatting>
  <conditionalFormatting sqref="C146">
    <cfRule type="cellIs" priority="4" dxfId="0" operator="greaterThan" stopIfTrue="1">
      <formula>1</formula>
    </cfRule>
  </conditionalFormatting>
  <conditionalFormatting sqref="C205 C169:F169">
    <cfRule type="cellIs" priority="5" dxfId="0" operator="notBetween" stopIfTrue="1">
      <formula>0</formula>
      <formula>100</formula>
    </cfRule>
  </conditionalFormatting>
  <hyperlinks>
    <hyperlink ref="F24" r:id="rId1" display="I"/>
    <hyperlink ref="F38" r:id="rId2" display="helpdoc"/>
    <hyperlink ref="F83" r:id="rId3" display="helpdoc"/>
    <hyperlink ref="F106" r:id="rId4" display="helpdoc"/>
    <hyperlink ref="F142" r:id="rId5" display="helpdoc"/>
    <hyperlink ref="F158" r:id="rId6" display="helpdoc"/>
    <hyperlink ref="F204" r:id="rId7" display="helpdoc"/>
  </hyperlink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98"/>
  <sheetViews>
    <sheetView showGridLines="0" showRowColHeaders="0" zoomScalePageLayoutView="0" workbookViewId="0" topLeftCell="A89">
      <selection activeCell="H111" sqref="H111"/>
    </sheetView>
  </sheetViews>
  <sheetFormatPr defaultColWidth="8.8515625" defaultRowHeight="12.75"/>
  <cols>
    <col min="1" max="1" width="11.421875" style="80" customWidth="1"/>
    <col min="2" max="2" width="9.8515625" style="3" customWidth="1"/>
    <col min="3" max="3" width="12.57421875" style="3" customWidth="1"/>
    <col min="4" max="4" width="11.00390625" style="3" customWidth="1"/>
    <col min="5" max="5" width="11.57421875" style="3" customWidth="1"/>
    <col min="6" max="6" width="14.28125" style="3" customWidth="1"/>
    <col min="7" max="7" width="13.140625" style="3" customWidth="1"/>
    <col min="8" max="8" width="17.7109375" style="3" customWidth="1"/>
    <col min="9" max="9" width="8.8515625" style="3" customWidth="1"/>
    <col min="10" max="10" width="13.421875" style="3" customWidth="1"/>
    <col min="11" max="11" width="2.8515625" style="3" customWidth="1"/>
    <col min="12" max="12" width="10.28125" style="3" customWidth="1"/>
    <col min="13" max="13" width="10.421875" style="3" customWidth="1"/>
    <col min="14" max="14" width="11.00390625" style="3" customWidth="1"/>
    <col min="15" max="15" width="10.8515625" style="3" customWidth="1"/>
    <col min="16" max="16384" width="8.8515625" style="3" customWidth="1"/>
  </cols>
  <sheetData>
    <row r="1" spans="1:256" ht="12.75">
      <c r="A1" s="78"/>
      <c r="B1" s="2"/>
      <c r="C1" s="2"/>
      <c r="D1" s="78"/>
      <c r="E1" s="2"/>
      <c r="F1" s="2"/>
      <c r="G1" s="2"/>
      <c r="H1" s="2"/>
      <c r="I1" s="1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78"/>
      <c r="B2" s="2"/>
      <c r="C2" s="2"/>
      <c r="D2" s="78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78"/>
      <c r="B3" s="2"/>
      <c r="C3" s="2"/>
      <c r="D3" s="78"/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78"/>
      <c r="B4" s="2"/>
      <c r="C4" s="2"/>
      <c r="D4" s="78"/>
      <c r="E4" s="2"/>
      <c r="F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3.25">
      <c r="A5" s="78"/>
      <c r="B5" s="2"/>
      <c r="C5" s="432" t="s">
        <v>319</v>
      </c>
      <c r="D5" s="433"/>
      <c r="E5" s="434"/>
      <c r="F5" s="43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5" ht="12.75">
      <c r="A6" s="13"/>
      <c r="B6" s="13"/>
      <c r="D6" s="13"/>
      <c r="E6" s="13"/>
      <c r="F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2:256" ht="12.75">
      <c r="B7" s="2"/>
      <c r="C7" s="2"/>
      <c r="D7" s="78"/>
      <c r="E7" s="2"/>
      <c r="F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78"/>
      <c r="B8" s="2"/>
      <c r="C8" s="2"/>
      <c r="D8" s="78"/>
      <c r="E8" s="14"/>
      <c r="F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79"/>
      <c r="B9" s="2"/>
      <c r="C9" s="2"/>
      <c r="D9" s="78"/>
      <c r="E9" s="14"/>
      <c r="F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78"/>
      <c r="B10" s="2"/>
      <c r="C10" s="2"/>
      <c r="D10" s="78"/>
      <c r="E10" s="14"/>
      <c r="F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ht="12.75">
      <c r="B11" s="2"/>
      <c r="C11" s="2"/>
      <c r="D11" s="78"/>
      <c r="E11" s="14"/>
      <c r="F11" s="14"/>
      <c r="G11" s="14"/>
      <c r="H11" s="81"/>
      <c r="I11" s="8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0.25">
      <c r="A12" s="78"/>
      <c r="B12" s="2"/>
      <c r="C12" s="91" t="s">
        <v>287</v>
      </c>
      <c r="D12" s="92"/>
      <c r="E12" s="93"/>
      <c r="F12" s="93"/>
      <c r="G12" s="2"/>
      <c r="H12" s="2"/>
      <c r="I12" s="1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 thickBot="1">
      <c r="A13" s="83"/>
      <c r="B13" s="4"/>
      <c r="C13" s="4"/>
      <c r="D13" s="83"/>
      <c r="E13" s="84"/>
      <c r="F13" s="8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3.5" thickBot="1">
      <c r="A14" s="94" t="s">
        <v>0</v>
      </c>
      <c r="B14" s="95" t="s">
        <v>1</v>
      </c>
      <c r="C14" s="95" t="s">
        <v>2</v>
      </c>
      <c r="D14" s="95" t="s">
        <v>3</v>
      </c>
      <c r="E14" s="95" t="s">
        <v>4</v>
      </c>
      <c r="F14" s="95" t="s">
        <v>5</v>
      </c>
      <c r="G14" s="123" t="s">
        <v>6</v>
      </c>
      <c r="H14" s="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3.5" thickBot="1">
      <c r="A15" s="102"/>
      <c r="B15" s="108">
        <v>1</v>
      </c>
      <c r="C15" s="109">
        <f aca="true" t="shared" si="0" ref="C15:C46">E15+D15</f>
        <v>93750</v>
      </c>
      <c r="D15" s="110">
        <f>G15*IPOTEZE!$C$29/12</f>
        <v>93750</v>
      </c>
      <c r="E15" s="110">
        <f>IF((ROW(B15)-ROW($B$15)+1)&gt;IPOTEZE!$C$28,IPOTEZE!$C$26/(IPOTEZE!$C$27*12-IPOTEZE!$C$28),0)</f>
        <v>0</v>
      </c>
      <c r="F15" s="111">
        <f>IF(G15-E15&lt;0,0,G15-E15)</f>
        <v>7500000</v>
      </c>
      <c r="G15" s="468">
        <f>IPOTEZE!C26</f>
        <v>7500000</v>
      </c>
      <c r="H15" s="84"/>
      <c r="I15" s="14"/>
      <c r="J15" s="2"/>
      <c r="K15" s="2"/>
      <c r="L15" s="2"/>
      <c r="M15" s="2"/>
      <c r="N15" s="2"/>
      <c r="O15" s="2"/>
      <c r="P15" s="2"/>
      <c r="Q15" s="85"/>
      <c r="R15" s="85"/>
      <c r="S15" s="85"/>
      <c r="T15" s="85"/>
      <c r="U15" s="85"/>
      <c r="V15" s="85"/>
      <c r="W15" s="8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04"/>
      <c r="B16" s="112">
        <v>2</v>
      </c>
      <c r="C16" s="97">
        <f t="shared" si="0"/>
        <v>93750</v>
      </c>
      <c r="D16" s="97">
        <f>F15*IPOTEZE!$C$29/12</f>
        <v>93750</v>
      </c>
      <c r="E16" s="97">
        <f>IF(F15&lt;1,0,IF((ROW(B16)-ROW($B$15)+1)&gt;IPOTEZE!$C$28,IPOTEZE!$C$26/(IPOTEZE!$C$27*12-IPOTEZE!$C$28),0))</f>
        <v>0</v>
      </c>
      <c r="F16" s="113">
        <f aca="true" t="shared" si="1" ref="F16:F47">IF(F15+G16-E16&lt;0,0,F15+G16-E16)</f>
        <v>7500000</v>
      </c>
      <c r="G16" s="124"/>
      <c r="H16" s="8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04"/>
      <c r="B17" s="114">
        <v>3</v>
      </c>
      <c r="C17" s="97">
        <f t="shared" si="0"/>
        <v>93750</v>
      </c>
      <c r="D17" s="97">
        <f>F16*IPOTEZE!$C$29/12</f>
        <v>93750</v>
      </c>
      <c r="E17" s="97">
        <f>IF(F16&lt;1,0,IF((ROW(B17)-ROW($B$15)+1)&gt;IPOTEZE!$C$28,IPOTEZE!$C$26/(IPOTEZE!$C$27*12-IPOTEZE!$C$28),0))</f>
        <v>0</v>
      </c>
      <c r="F17" s="113">
        <f t="shared" si="1"/>
        <v>7500000</v>
      </c>
      <c r="G17" s="125"/>
      <c r="H17" s="84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04"/>
      <c r="B18" s="114">
        <v>4</v>
      </c>
      <c r="C18" s="97">
        <f t="shared" si="0"/>
        <v>93750</v>
      </c>
      <c r="D18" s="97">
        <f>F17*IPOTEZE!$C$29/12</f>
        <v>93750</v>
      </c>
      <c r="E18" s="97">
        <f>IF(F17&lt;1,0,IF((ROW(B18)-ROW($B$15)+1)&gt;IPOTEZE!$C$28,IPOTEZE!$C$26/(IPOTEZE!$C$27*12-IPOTEZE!$C$28),0))</f>
        <v>0</v>
      </c>
      <c r="F18" s="113">
        <f t="shared" si="1"/>
        <v>7500000</v>
      </c>
      <c r="G18" s="125"/>
      <c r="H18" s="84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04"/>
      <c r="B19" s="114">
        <v>5</v>
      </c>
      <c r="C19" s="97">
        <f t="shared" si="0"/>
        <v>93750</v>
      </c>
      <c r="D19" s="97">
        <f>F18*IPOTEZE!$C$29/12</f>
        <v>93750</v>
      </c>
      <c r="E19" s="97">
        <f>IF(F18&lt;1,0,IF((ROW(B19)-ROW($B$15)+1)&gt;IPOTEZE!$C$28,IPOTEZE!$C$26/(IPOTEZE!$C$27*12-IPOTEZE!$C$28),0))</f>
        <v>0</v>
      </c>
      <c r="F19" s="113">
        <f t="shared" si="1"/>
        <v>7500000</v>
      </c>
      <c r="G19" s="126"/>
      <c r="H19" s="84"/>
      <c r="I19" s="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04" t="s">
        <v>7</v>
      </c>
      <c r="B20" s="114">
        <v>6</v>
      </c>
      <c r="C20" s="97">
        <f t="shared" si="0"/>
        <v>93750</v>
      </c>
      <c r="D20" s="97">
        <f>F19*IPOTEZE!$C$29/12</f>
        <v>93750</v>
      </c>
      <c r="E20" s="97">
        <f>IF(F19&lt;1,0,IF((ROW(B20)-ROW($B$15)+1)&gt;IPOTEZE!$C$28,IPOTEZE!$C$26/(IPOTEZE!$C$27*12-IPOTEZE!$C$28),0))</f>
        <v>0</v>
      </c>
      <c r="F20" s="113">
        <f t="shared" si="1"/>
        <v>7500000</v>
      </c>
      <c r="G20" s="126"/>
      <c r="H20" s="84"/>
      <c r="I20" s="1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04"/>
      <c r="B21" s="114">
        <v>7</v>
      </c>
      <c r="C21" s="97">
        <f t="shared" si="0"/>
        <v>343750</v>
      </c>
      <c r="D21" s="97">
        <f>F20*IPOTEZE!$C$29/12</f>
        <v>93750</v>
      </c>
      <c r="E21" s="97">
        <f>IF(F20&lt;1,0,IF((ROW(B21)-ROW($B$15)+1)&gt;IPOTEZE!$C$28,IPOTEZE!$C$26/(IPOTEZE!$C$27*12-IPOTEZE!$C$28),0))</f>
        <v>250000</v>
      </c>
      <c r="F21" s="113">
        <f t="shared" si="1"/>
        <v>7250000</v>
      </c>
      <c r="G21" s="126"/>
      <c r="H21" s="84"/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04"/>
      <c r="B22" s="114">
        <v>8</v>
      </c>
      <c r="C22" s="97">
        <f t="shared" si="0"/>
        <v>340625</v>
      </c>
      <c r="D22" s="97">
        <f>F21*IPOTEZE!$C$29/12</f>
        <v>90625</v>
      </c>
      <c r="E22" s="97">
        <f>IF(F21&lt;1,0,IF((ROW(B22)-ROW($B$15)+1)&gt;IPOTEZE!$C$28,IPOTEZE!$C$26/(IPOTEZE!$C$27*12-IPOTEZE!$C$28),0))</f>
        <v>250000</v>
      </c>
      <c r="F22" s="113">
        <f t="shared" si="1"/>
        <v>7000000</v>
      </c>
      <c r="G22" s="126"/>
      <c r="H22" s="84"/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04"/>
      <c r="B23" s="114">
        <v>9</v>
      </c>
      <c r="C23" s="97">
        <f t="shared" si="0"/>
        <v>337500</v>
      </c>
      <c r="D23" s="97">
        <f>F22*IPOTEZE!$C$29/12</f>
        <v>87500</v>
      </c>
      <c r="E23" s="97">
        <f>IF(F22&lt;1,0,IF((ROW(B23)-ROW($B$15)+1)&gt;IPOTEZE!$C$28,IPOTEZE!$C$26/(IPOTEZE!$C$27*12-IPOTEZE!$C$28),0))</f>
        <v>250000</v>
      </c>
      <c r="F23" s="113">
        <f t="shared" si="1"/>
        <v>6750000</v>
      </c>
      <c r="G23" s="126"/>
      <c r="H23" s="84"/>
      <c r="I23" s="1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04"/>
      <c r="B24" s="114">
        <v>10</v>
      </c>
      <c r="C24" s="97">
        <f t="shared" si="0"/>
        <v>334375</v>
      </c>
      <c r="D24" s="97">
        <f>F23*IPOTEZE!$C$29/12</f>
        <v>84375</v>
      </c>
      <c r="E24" s="97">
        <f>IF(F23&lt;1,0,IF((ROW(B24)-ROW($B$15)+1)&gt;IPOTEZE!$C$28,IPOTEZE!$C$26/(IPOTEZE!$C$27*12-IPOTEZE!$C$28),0))</f>
        <v>250000</v>
      </c>
      <c r="F24" s="113">
        <f t="shared" si="1"/>
        <v>6500000</v>
      </c>
      <c r="G24" s="126"/>
      <c r="H24" s="84"/>
      <c r="I24" s="1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04"/>
      <c r="B25" s="114">
        <v>11</v>
      </c>
      <c r="C25" s="97">
        <f t="shared" si="0"/>
        <v>331250</v>
      </c>
      <c r="D25" s="97">
        <f>F24*IPOTEZE!$C$29/12</f>
        <v>81250</v>
      </c>
      <c r="E25" s="97">
        <f>IF(F24&lt;1,0,IF((ROW(B25)-ROW($B$15)+1)&gt;IPOTEZE!$C$28,IPOTEZE!$C$26/(IPOTEZE!$C$27*12-IPOTEZE!$C$28),0))</f>
        <v>250000</v>
      </c>
      <c r="F25" s="113">
        <f t="shared" si="1"/>
        <v>6250000</v>
      </c>
      <c r="G25" s="126"/>
      <c r="H25" s="84"/>
      <c r="I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3.5" thickBot="1">
      <c r="A26" s="105"/>
      <c r="B26" s="115">
        <v>12</v>
      </c>
      <c r="C26" s="98">
        <f t="shared" si="0"/>
        <v>328125</v>
      </c>
      <c r="D26" s="98">
        <f>F25*IPOTEZE!$C$29/12</f>
        <v>78125</v>
      </c>
      <c r="E26" s="99">
        <f>IF(F25&lt;1,0,IF((ROW(B26)-ROW($B$15)+1)&gt;IPOTEZE!$C$28,IPOTEZE!$C$26/(IPOTEZE!$C$27*12-IPOTEZE!$C$28),0))</f>
        <v>250000</v>
      </c>
      <c r="F26" s="116">
        <f t="shared" si="1"/>
        <v>6000000</v>
      </c>
      <c r="G26" s="125"/>
      <c r="H26" s="84"/>
      <c r="I26" s="1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06"/>
      <c r="B27" s="117">
        <v>1</v>
      </c>
      <c r="C27" s="96">
        <f t="shared" si="0"/>
        <v>325000</v>
      </c>
      <c r="D27" s="96">
        <f>F26*IPOTEZE!$C$29/12</f>
        <v>75000</v>
      </c>
      <c r="E27" s="100">
        <f>IF(F26&lt;1,0,IF((ROW(B27)-ROW($B$15)+1)&gt;IPOTEZE!$C$28,IPOTEZE!$C$26/(IPOTEZE!$C$27*12-IPOTEZE!$C$28),0))</f>
        <v>250000</v>
      </c>
      <c r="F27" s="118">
        <f t="shared" si="1"/>
        <v>5750000</v>
      </c>
      <c r="G27" s="126"/>
      <c r="H27" s="84"/>
      <c r="I27" s="1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04"/>
      <c r="B28" s="114">
        <v>2</v>
      </c>
      <c r="C28" s="97">
        <f t="shared" si="0"/>
        <v>321875</v>
      </c>
      <c r="D28" s="97">
        <f>F27*IPOTEZE!$C$29/12</f>
        <v>71875</v>
      </c>
      <c r="E28" s="97">
        <f>IF(F27&lt;1,0,IF((ROW(B28)-ROW($B$15)+1)&gt;IPOTEZE!$C$28,IPOTEZE!$C$26/(IPOTEZE!$C$27*12-IPOTEZE!$C$28),0))</f>
        <v>250000</v>
      </c>
      <c r="F28" s="113">
        <f t="shared" si="1"/>
        <v>5500000</v>
      </c>
      <c r="G28" s="126"/>
      <c r="H28" s="84"/>
      <c r="I28" s="14"/>
      <c r="P28" s="8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04"/>
      <c r="B29" s="114">
        <v>3</v>
      </c>
      <c r="C29" s="97">
        <f t="shared" si="0"/>
        <v>318750</v>
      </c>
      <c r="D29" s="97">
        <f>F28*IPOTEZE!$C$29/12</f>
        <v>68750</v>
      </c>
      <c r="E29" s="97">
        <f>IF(F28&lt;1,0,IF((ROW(B29)-ROW($B$15)+1)&gt;IPOTEZE!$C$28,IPOTEZE!$C$26/(IPOTEZE!$C$27*12-IPOTEZE!$C$28),0))</f>
        <v>250000</v>
      </c>
      <c r="F29" s="113">
        <f t="shared" si="1"/>
        <v>5250000</v>
      </c>
      <c r="G29" s="126"/>
      <c r="H29" s="84"/>
      <c r="I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04"/>
      <c r="B30" s="114">
        <v>4</v>
      </c>
      <c r="C30" s="97">
        <f t="shared" si="0"/>
        <v>315625</v>
      </c>
      <c r="D30" s="97">
        <f>F29*IPOTEZE!$C$29/12</f>
        <v>65625</v>
      </c>
      <c r="E30" s="97">
        <f>IF(F29&lt;1,0,IF((ROW(B30)-ROW($B$15)+1)&gt;IPOTEZE!$C$28,IPOTEZE!$C$26/(IPOTEZE!$C$27*12-IPOTEZE!$C$28),0))</f>
        <v>250000</v>
      </c>
      <c r="F30" s="113">
        <f t="shared" si="1"/>
        <v>5000000</v>
      </c>
      <c r="G30" s="126"/>
      <c r="H30" s="84"/>
      <c r="I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04"/>
      <c r="B31" s="114">
        <v>5</v>
      </c>
      <c r="C31" s="97">
        <f t="shared" si="0"/>
        <v>312500</v>
      </c>
      <c r="D31" s="97">
        <f>F30*IPOTEZE!$C$29/12</f>
        <v>62500</v>
      </c>
      <c r="E31" s="97">
        <f>IF(F30&lt;1,0,IF((ROW(B31)-ROW($B$15)+1)&gt;IPOTEZE!$C$28,IPOTEZE!$C$26/(IPOTEZE!$C$27*12-IPOTEZE!$C$28),0))</f>
        <v>250000</v>
      </c>
      <c r="F31" s="113">
        <f t="shared" si="1"/>
        <v>4750000</v>
      </c>
      <c r="G31" s="126"/>
      <c r="H31" s="84"/>
      <c r="I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04" t="s">
        <v>8</v>
      </c>
      <c r="B32" s="114">
        <v>6</v>
      </c>
      <c r="C32" s="97">
        <f t="shared" si="0"/>
        <v>309375</v>
      </c>
      <c r="D32" s="97">
        <f>F31*IPOTEZE!$C$29/12</f>
        <v>59375</v>
      </c>
      <c r="E32" s="97">
        <f>IF(F31&lt;1,0,IF((ROW(B32)-ROW($B$15)+1)&gt;IPOTEZE!$C$28,IPOTEZE!$C$26/(IPOTEZE!$C$27*12-IPOTEZE!$C$28),0))</f>
        <v>250000</v>
      </c>
      <c r="F32" s="113">
        <f t="shared" si="1"/>
        <v>4500000</v>
      </c>
      <c r="G32" s="126"/>
      <c r="H32" s="84"/>
      <c r="I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04"/>
      <c r="B33" s="114">
        <v>7</v>
      </c>
      <c r="C33" s="97">
        <f t="shared" si="0"/>
        <v>306250</v>
      </c>
      <c r="D33" s="97">
        <f>F32*IPOTEZE!$C$29/12</f>
        <v>56250</v>
      </c>
      <c r="E33" s="97">
        <f>IF(F32&lt;1,0,IF((ROW(B33)-ROW($B$15)+1)&gt;IPOTEZE!$C$28,IPOTEZE!$C$26/(IPOTEZE!$C$27*12-IPOTEZE!$C$28),0))</f>
        <v>250000</v>
      </c>
      <c r="F33" s="113">
        <f t="shared" si="1"/>
        <v>4250000</v>
      </c>
      <c r="G33" s="126"/>
      <c r="H33" s="84"/>
      <c r="I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04"/>
      <c r="B34" s="114">
        <v>8</v>
      </c>
      <c r="C34" s="97">
        <f t="shared" si="0"/>
        <v>303125</v>
      </c>
      <c r="D34" s="97">
        <f>F33*IPOTEZE!$C$29/12</f>
        <v>53125</v>
      </c>
      <c r="E34" s="97">
        <f>IF(F33&lt;1,0,IF((ROW(B34)-ROW($B$15)+1)&gt;IPOTEZE!$C$28,IPOTEZE!$C$26/(IPOTEZE!$C$27*12-IPOTEZE!$C$28),0))</f>
        <v>250000</v>
      </c>
      <c r="F34" s="113">
        <f t="shared" si="1"/>
        <v>4000000</v>
      </c>
      <c r="G34" s="126"/>
      <c r="H34" s="84"/>
      <c r="I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04"/>
      <c r="B35" s="114">
        <v>9</v>
      </c>
      <c r="C35" s="97">
        <f t="shared" si="0"/>
        <v>300000</v>
      </c>
      <c r="D35" s="97">
        <f>F34*IPOTEZE!$C$29/12</f>
        <v>50000</v>
      </c>
      <c r="E35" s="97">
        <f>IF(F34&lt;1,0,IF((ROW(B35)-ROW($B$15)+1)&gt;IPOTEZE!$C$28,IPOTEZE!$C$26/(IPOTEZE!$C$27*12-IPOTEZE!$C$28),0))</f>
        <v>250000</v>
      </c>
      <c r="F35" s="113">
        <f t="shared" si="1"/>
        <v>3750000</v>
      </c>
      <c r="G35" s="126"/>
      <c r="H35" s="84"/>
      <c r="I35" s="14"/>
      <c r="P35" s="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12.75">
      <c r="A36" s="104"/>
      <c r="B36" s="114">
        <v>10</v>
      </c>
      <c r="C36" s="97">
        <f t="shared" si="0"/>
        <v>296875</v>
      </c>
      <c r="D36" s="97">
        <f>F35*IPOTEZE!$C$29/12</f>
        <v>46875</v>
      </c>
      <c r="E36" s="97">
        <f>IF(F35&lt;1,0,IF((ROW(B36)-ROW($B$15)+1)&gt;IPOTEZE!$C$28,IPOTEZE!$C$26/(IPOTEZE!$C$27*12-IPOTEZE!$C$28),0))</f>
        <v>250000</v>
      </c>
      <c r="F36" s="113">
        <f t="shared" si="1"/>
        <v>3500000</v>
      </c>
      <c r="G36" s="126"/>
      <c r="H36" s="84"/>
      <c r="I36" s="14"/>
      <c r="P36" s="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12.75">
      <c r="A37" s="104"/>
      <c r="B37" s="114">
        <v>11</v>
      </c>
      <c r="C37" s="97">
        <f t="shared" si="0"/>
        <v>293750</v>
      </c>
      <c r="D37" s="97">
        <f>F36*IPOTEZE!$C$29/12</f>
        <v>43750</v>
      </c>
      <c r="E37" s="97">
        <f>IF(F36&lt;1,0,IF((ROW(B37)-ROW($B$15)+1)&gt;IPOTEZE!$C$28,IPOTEZE!$C$26/(IPOTEZE!$C$27*12-IPOTEZE!$C$28),0))</f>
        <v>250000</v>
      </c>
      <c r="F37" s="113">
        <f t="shared" si="1"/>
        <v>3250000</v>
      </c>
      <c r="G37" s="126"/>
      <c r="H37" s="84"/>
      <c r="I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3.5" thickBot="1">
      <c r="A38" s="105"/>
      <c r="B38" s="115">
        <v>12</v>
      </c>
      <c r="C38" s="98">
        <f t="shared" si="0"/>
        <v>290625</v>
      </c>
      <c r="D38" s="98">
        <f>F37*IPOTEZE!$C$29/12</f>
        <v>40625</v>
      </c>
      <c r="E38" s="99">
        <f>IF(F37&lt;1,0,IF((ROW(B38)-ROW($B$15)+1)&gt;IPOTEZE!$C$28,IPOTEZE!$C$26/(IPOTEZE!$C$27*12-IPOTEZE!$C$28),0))</f>
        <v>250000</v>
      </c>
      <c r="F38" s="116">
        <f t="shared" si="1"/>
        <v>3000000</v>
      </c>
      <c r="G38" s="125"/>
      <c r="H38" s="84"/>
      <c r="I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06"/>
      <c r="B39" s="117">
        <v>1</v>
      </c>
      <c r="C39" s="96">
        <f t="shared" si="0"/>
        <v>287500</v>
      </c>
      <c r="D39" s="96">
        <f>F38*IPOTEZE!$C$29/12</f>
        <v>37500</v>
      </c>
      <c r="E39" s="100">
        <f>IF(F38&lt;1,0,IF((ROW(B39)-ROW($B$15)+1)&gt;IPOTEZE!$C$28,IPOTEZE!$C$26/(IPOTEZE!$C$27*12-IPOTEZE!$C$28),0))</f>
        <v>250000</v>
      </c>
      <c r="F39" s="118">
        <f t="shared" si="1"/>
        <v>2750000</v>
      </c>
      <c r="G39" s="126"/>
      <c r="H39" s="4"/>
      <c r="I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104"/>
      <c r="B40" s="114">
        <v>2</v>
      </c>
      <c r="C40" s="97">
        <f t="shared" si="0"/>
        <v>284375</v>
      </c>
      <c r="D40" s="97">
        <f>F39*IPOTEZE!$C$29/12</f>
        <v>34375</v>
      </c>
      <c r="E40" s="97">
        <f>IF(F39&lt;1,0,IF((ROW(B40)-ROW($B$15)+1)&gt;IPOTEZE!$C$28,IPOTEZE!$C$26/(IPOTEZE!$C$27*12-IPOTEZE!$C$28),0))</f>
        <v>250000</v>
      </c>
      <c r="F40" s="113">
        <f t="shared" si="1"/>
        <v>2500000</v>
      </c>
      <c r="G40" s="126"/>
      <c r="H40" s="4"/>
      <c r="I40" s="1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104"/>
      <c r="B41" s="114">
        <v>3</v>
      </c>
      <c r="C41" s="97">
        <f t="shared" si="0"/>
        <v>281250</v>
      </c>
      <c r="D41" s="97">
        <f>F40*IPOTEZE!$C$29/12</f>
        <v>31250</v>
      </c>
      <c r="E41" s="97">
        <f>IF(F40&lt;1,0,IF((ROW(B41)-ROW($B$15)+1)&gt;IPOTEZE!$C$28,IPOTEZE!$C$26/(IPOTEZE!$C$27*12-IPOTEZE!$C$28),0))</f>
        <v>250000</v>
      </c>
      <c r="F41" s="113">
        <f t="shared" si="1"/>
        <v>2250000</v>
      </c>
      <c r="G41" s="126"/>
      <c r="H41" s="4"/>
      <c r="I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04"/>
      <c r="B42" s="114">
        <v>4</v>
      </c>
      <c r="C42" s="97">
        <f t="shared" si="0"/>
        <v>278125</v>
      </c>
      <c r="D42" s="97">
        <f>F41*IPOTEZE!$C$29/12</f>
        <v>28125</v>
      </c>
      <c r="E42" s="97">
        <f>IF(F41&lt;1,0,IF((ROW(B42)-ROW($B$15)+1)&gt;IPOTEZE!$C$28,IPOTEZE!$C$26/(IPOTEZE!$C$27*12-IPOTEZE!$C$28),0))</f>
        <v>250000</v>
      </c>
      <c r="F42" s="113">
        <f t="shared" si="1"/>
        <v>2000000</v>
      </c>
      <c r="G42" s="126"/>
      <c r="H42" s="4"/>
      <c r="I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04"/>
      <c r="B43" s="114">
        <v>5</v>
      </c>
      <c r="C43" s="97">
        <f t="shared" si="0"/>
        <v>275000</v>
      </c>
      <c r="D43" s="97">
        <f>F42*IPOTEZE!$C$29/12</f>
        <v>25000</v>
      </c>
      <c r="E43" s="97">
        <f>IF(F42&lt;1,0,IF((ROW(B43)-ROW($B$15)+1)&gt;IPOTEZE!$C$28,IPOTEZE!$C$26/(IPOTEZE!$C$27*12-IPOTEZE!$C$28),0))</f>
        <v>250000</v>
      </c>
      <c r="F43" s="113">
        <f t="shared" si="1"/>
        <v>1750000</v>
      </c>
      <c r="G43" s="126"/>
      <c r="H43" s="4"/>
      <c r="I43" s="1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04" t="s">
        <v>14</v>
      </c>
      <c r="B44" s="114">
        <v>6</v>
      </c>
      <c r="C44" s="97">
        <f t="shared" si="0"/>
        <v>271875</v>
      </c>
      <c r="D44" s="97">
        <f>F43*IPOTEZE!$C$29/12</f>
        <v>21875</v>
      </c>
      <c r="E44" s="97">
        <f>IF(F43&lt;1,0,IF((ROW(B44)-ROW($B$15)+1)&gt;IPOTEZE!$C$28,IPOTEZE!$C$26/(IPOTEZE!$C$27*12-IPOTEZE!$C$28),0))</f>
        <v>250000</v>
      </c>
      <c r="F44" s="113">
        <f t="shared" si="1"/>
        <v>1500000</v>
      </c>
      <c r="G44" s="126"/>
      <c r="H44" s="4"/>
      <c r="I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04"/>
      <c r="B45" s="114">
        <v>7</v>
      </c>
      <c r="C45" s="97">
        <f t="shared" si="0"/>
        <v>268750</v>
      </c>
      <c r="D45" s="97">
        <f>F44*IPOTEZE!$C$29/12</f>
        <v>18750</v>
      </c>
      <c r="E45" s="97">
        <f>IF(F44&lt;1,0,IF((ROW(B45)-ROW($B$15)+1)&gt;IPOTEZE!$C$28,IPOTEZE!$C$26/(IPOTEZE!$C$27*12-IPOTEZE!$C$28),0))</f>
        <v>250000</v>
      </c>
      <c r="F45" s="113">
        <f t="shared" si="1"/>
        <v>1250000</v>
      </c>
      <c r="G45" s="126"/>
      <c r="H45" s="4"/>
      <c r="I45" s="1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04"/>
      <c r="B46" s="114">
        <v>8</v>
      </c>
      <c r="C46" s="97">
        <f t="shared" si="0"/>
        <v>265625</v>
      </c>
      <c r="D46" s="97">
        <f>F45*IPOTEZE!$C$29/12</f>
        <v>15625</v>
      </c>
      <c r="E46" s="97">
        <f>IF(F45&lt;1,0,IF((ROW(B46)-ROW($B$15)+1)&gt;IPOTEZE!$C$28,IPOTEZE!$C$26/(IPOTEZE!$C$27*12-IPOTEZE!$C$28),0))</f>
        <v>250000</v>
      </c>
      <c r="F46" s="113">
        <f t="shared" si="1"/>
        <v>1000000</v>
      </c>
      <c r="G46" s="126"/>
      <c r="H46" s="4"/>
      <c r="I46" s="1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04"/>
      <c r="B47" s="114">
        <v>9</v>
      </c>
      <c r="C47" s="97">
        <f aca="true" t="shared" si="2" ref="C47:C74">E47+D47</f>
        <v>262500</v>
      </c>
      <c r="D47" s="97">
        <f>F46*IPOTEZE!$C$29/12</f>
        <v>12500</v>
      </c>
      <c r="E47" s="97">
        <f>IF(F46&lt;1,0,IF((ROW(B47)-ROW($B$15)+1)&gt;IPOTEZE!$C$28,IPOTEZE!$C$26/(IPOTEZE!$C$27*12-IPOTEZE!$C$28),0))</f>
        <v>250000</v>
      </c>
      <c r="F47" s="113">
        <f t="shared" si="1"/>
        <v>750000</v>
      </c>
      <c r="G47" s="126"/>
      <c r="H47" s="4"/>
      <c r="I47" s="1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04"/>
      <c r="B48" s="114">
        <v>10</v>
      </c>
      <c r="C48" s="97">
        <f t="shared" si="2"/>
        <v>259375</v>
      </c>
      <c r="D48" s="97">
        <f>F47*IPOTEZE!$C$29/12</f>
        <v>9375</v>
      </c>
      <c r="E48" s="97">
        <f>IF(F47&lt;1,0,IF((ROW(B48)-ROW($B$15)+1)&gt;IPOTEZE!$C$28,IPOTEZE!$C$26/(IPOTEZE!$C$27*12-IPOTEZE!$C$28),0))</f>
        <v>250000</v>
      </c>
      <c r="F48" s="113">
        <f aca="true" t="shared" si="3" ref="F48:F74">IF(F47+G48-E48&lt;0,0,F47+G48-E48)</f>
        <v>500000</v>
      </c>
      <c r="G48" s="126"/>
      <c r="H48" s="4"/>
      <c r="I48" s="1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04"/>
      <c r="B49" s="114">
        <v>11</v>
      </c>
      <c r="C49" s="97">
        <f t="shared" si="2"/>
        <v>256250</v>
      </c>
      <c r="D49" s="97">
        <f>F48*IPOTEZE!$C$29/12</f>
        <v>6250</v>
      </c>
      <c r="E49" s="97">
        <f>IF(F48&lt;1,0,IF((ROW(B49)-ROW($B$15)+1)&gt;IPOTEZE!$C$28,IPOTEZE!$C$26/(IPOTEZE!$C$27*12-IPOTEZE!$C$28),0))</f>
        <v>250000</v>
      </c>
      <c r="F49" s="113">
        <f t="shared" si="3"/>
        <v>250000</v>
      </c>
      <c r="G49" s="126"/>
      <c r="H49" s="4"/>
      <c r="I49" s="1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3.5" thickBot="1">
      <c r="A50" s="105"/>
      <c r="B50" s="115">
        <v>12</v>
      </c>
      <c r="C50" s="98">
        <f t="shared" si="2"/>
        <v>253125</v>
      </c>
      <c r="D50" s="98">
        <f>F49*IPOTEZE!$C$29/12</f>
        <v>3125</v>
      </c>
      <c r="E50" s="97">
        <f>IF(F49&lt;1,0,IF((ROW(B50)-ROW($B$15)+1)&gt;IPOTEZE!$C$28,IPOTEZE!$C$26/(IPOTEZE!$C$27*12-IPOTEZE!$C$28),0))</f>
        <v>250000</v>
      </c>
      <c r="F50" s="113">
        <f t="shared" si="3"/>
        <v>0</v>
      </c>
      <c r="G50" s="126"/>
      <c r="H50" s="4"/>
      <c r="I50" s="1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06"/>
      <c r="B51" s="117">
        <v>1</v>
      </c>
      <c r="C51" s="96">
        <f t="shared" si="2"/>
        <v>0</v>
      </c>
      <c r="D51" s="96">
        <f>F50*IPOTEZE!$C$29/12</f>
        <v>0</v>
      </c>
      <c r="E51" s="97">
        <f>IF(F50&lt;1,0,IF((ROW(B51)-ROW($B$15)+1)&gt;IPOTEZE!$C$28,IPOTEZE!$C$26/(IPOTEZE!$C$27*12-IPOTEZE!$C$28),0))</f>
        <v>0</v>
      </c>
      <c r="F51" s="113">
        <f t="shared" si="3"/>
        <v>0</v>
      </c>
      <c r="G51" s="126"/>
      <c r="H51" s="4"/>
      <c r="I51" s="1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04"/>
      <c r="B52" s="114">
        <v>2</v>
      </c>
      <c r="C52" s="97">
        <f t="shared" si="2"/>
        <v>0</v>
      </c>
      <c r="D52" s="97">
        <f>F51*IPOTEZE!$C$29/12</f>
        <v>0</v>
      </c>
      <c r="E52" s="97">
        <f>IF(F51&lt;1,0,IF((ROW(B52)-ROW($B$15)+1)&gt;IPOTEZE!$C$28,IPOTEZE!$C$26/(IPOTEZE!$C$27*12-IPOTEZE!$C$28),0))</f>
        <v>0</v>
      </c>
      <c r="F52" s="113">
        <f t="shared" si="3"/>
        <v>0</v>
      </c>
      <c r="G52" s="126"/>
      <c r="H52" s="4"/>
      <c r="I52" s="1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04"/>
      <c r="B53" s="114">
        <v>3</v>
      </c>
      <c r="C53" s="97">
        <f t="shared" si="2"/>
        <v>0</v>
      </c>
      <c r="D53" s="97">
        <f>F52*IPOTEZE!$C$29/12</f>
        <v>0</v>
      </c>
      <c r="E53" s="97">
        <f>IF(F52&lt;1,0,IF((ROW(B53)-ROW($B$15)+1)&gt;IPOTEZE!$C$28,IPOTEZE!$C$26/(IPOTEZE!$C$27*12-IPOTEZE!$C$28),0))</f>
        <v>0</v>
      </c>
      <c r="F53" s="113">
        <f t="shared" si="3"/>
        <v>0</v>
      </c>
      <c r="G53" s="126"/>
      <c r="H53" s="4"/>
      <c r="I53" s="1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04"/>
      <c r="B54" s="114">
        <v>4</v>
      </c>
      <c r="C54" s="97">
        <f t="shared" si="2"/>
        <v>0</v>
      </c>
      <c r="D54" s="97">
        <f>F53*IPOTEZE!$C$29/12</f>
        <v>0</v>
      </c>
      <c r="E54" s="97">
        <f>IF(F53&lt;1,0,IF((ROW(B54)-ROW($B$15)+1)&gt;IPOTEZE!$C$28,IPOTEZE!$C$26/(IPOTEZE!$C$27*12-IPOTEZE!$C$28),0))</f>
        <v>0</v>
      </c>
      <c r="F54" s="113">
        <f t="shared" si="3"/>
        <v>0</v>
      </c>
      <c r="G54" s="126"/>
      <c r="H54" s="4"/>
      <c r="I54" s="1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04"/>
      <c r="B55" s="114">
        <v>5</v>
      </c>
      <c r="C55" s="97">
        <f t="shared" si="2"/>
        <v>0</v>
      </c>
      <c r="D55" s="97">
        <f>F54*IPOTEZE!$C$29/12</f>
        <v>0</v>
      </c>
      <c r="E55" s="97">
        <f>IF(F54&lt;1,0,IF((ROW(B55)-ROW($B$15)+1)&gt;IPOTEZE!$C$28,IPOTEZE!$C$26/(IPOTEZE!$C$27*12-IPOTEZE!$C$28),0))</f>
        <v>0</v>
      </c>
      <c r="F55" s="113">
        <f t="shared" si="3"/>
        <v>0</v>
      </c>
      <c r="G55" s="126"/>
      <c r="H55" s="4"/>
      <c r="I55" s="1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04" t="s">
        <v>16</v>
      </c>
      <c r="B56" s="114">
        <v>6</v>
      </c>
      <c r="C56" s="97">
        <f t="shared" si="2"/>
        <v>0</v>
      </c>
      <c r="D56" s="97">
        <f>F55*IPOTEZE!$C$29/12</f>
        <v>0</v>
      </c>
      <c r="E56" s="97">
        <f>IF(F55&lt;1,0,IF((ROW(B56)-ROW($B$15)+1)&gt;IPOTEZE!$C$28,IPOTEZE!$C$26/(IPOTEZE!$C$27*12-IPOTEZE!$C$28),0))</f>
        <v>0</v>
      </c>
      <c r="F56" s="113">
        <f t="shared" si="3"/>
        <v>0</v>
      </c>
      <c r="G56" s="126"/>
      <c r="H56" s="4"/>
      <c r="I56" s="1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04"/>
      <c r="B57" s="114">
        <v>7</v>
      </c>
      <c r="C57" s="97">
        <f t="shared" si="2"/>
        <v>0</v>
      </c>
      <c r="D57" s="97">
        <f>F56*IPOTEZE!$C$29/12</f>
        <v>0</v>
      </c>
      <c r="E57" s="97">
        <f>IF(F56&lt;1,0,IF((ROW(B57)-ROW($B$15)+1)&gt;IPOTEZE!$C$28,IPOTEZE!$C$26/(IPOTEZE!$C$27*12-IPOTEZE!$C$28),0))</f>
        <v>0</v>
      </c>
      <c r="F57" s="113">
        <f t="shared" si="3"/>
        <v>0</v>
      </c>
      <c r="G57" s="126"/>
      <c r="H57" s="4"/>
      <c r="I57" s="1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04"/>
      <c r="B58" s="114">
        <v>8</v>
      </c>
      <c r="C58" s="97">
        <f t="shared" si="2"/>
        <v>0</v>
      </c>
      <c r="D58" s="97">
        <f>F57*IPOTEZE!$C$29/12</f>
        <v>0</v>
      </c>
      <c r="E58" s="97">
        <f>IF(F57&lt;1,0,IF((ROW(B58)-ROW($B$15)+1)&gt;IPOTEZE!$C$28,IPOTEZE!$C$26/(IPOTEZE!$C$27*12-IPOTEZE!$C$28),0))</f>
        <v>0</v>
      </c>
      <c r="F58" s="113">
        <f t="shared" si="3"/>
        <v>0</v>
      </c>
      <c r="G58" s="126"/>
      <c r="H58" s="4"/>
      <c r="I58" s="1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04"/>
      <c r="B59" s="114">
        <v>9</v>
      </c>
      <c r="C59" s="97">
        <f t="shared" si="2"/>
        <v>0</v>
      </c>
      <c r="D59" s="97">
        <f>F58*IPOTEZE!$C$29/12</f>
        <v>0</v>
      </c>
      <c r="E59" s="97">
        <f>IF(F58&lt;1,0,IF((ROW(B59)-ROW($B$15)+1)&gt;IPOTEZE!$C$28,IPOTEZE!$C$26/(IPOTEZE!$C$27*12-IPOTEZE!$C$28),0))</f>
        <v>0</v>
      </c>
      <c r="F59" s="113">
        <f t="shared" si="3"/>
        <v>0</v>
      </c>
      <c r="G59" s="126"/>
      <c r="H59" s="4"/>
      <c r="I59" s="1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104"/>
      <c r="B60" s="114">
        <v>10</v>
      </c>
      <c r="C60" s="97">
        <f t="shared" si="2"/>
        <v>0</v>
      </c>
      <c r="D60" s="97">
        <f>F59*IPOTEZE!$C$29/12</f>
        <v>0</v>
      </c>
      <c r="E60" s="97">
        <f>IF(F59&lt;1,0,IF((ROW(B60)-ROW($B$15)+1)&gt;IPOTEZE!$C$28,IPOTEZE!$C$26/(IPOTEZE!$C$27*12-IPOTEZE!$C$28),0))</f>
        <v>0</v>
      </c>
      <c r="F60" s="113">
        <f t="shared" si="3"/>
        <v>0</v>
      </c>
      <c r="G60" s="126"/>
      <c r="H60" s="4"/>
      <c r="I60" s="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04"/>
      <c r="B61" s="114">
        <v>11</v>
      </c>
      <c r="C61" s="97">
        <f t="shared" si="2"/>
        <v>0</v>
      </c>
      <c r="D61" s="97">
        <f>F60*IPOTEZE!$C$29/12</f>
        <v>0</v>
      </c>
      <c r="E61" s="97">
        <f>IF(F60&lt;1,0,IF((ROW(B61)-ROW($B$15)+1)&gt;IPOTEZE!$C$28,IPOTEZE!$C$26/(IPOTEZE!$C$27*12-IPOTEZE!$C$28),0))</f>
        <v>0</v>
      </c>
      <c r="F61" s="113">
        <f t="shared" si="3"/>
        <v>0</v>
      </c>
      <c r="G61" s="126"/>
      <c r="H61" s="4"/>
      <c r="I61" s="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3.5" thickBot="1">
      <c r="A62" s="105"/>
      <c r="B62" s="115">
        <v>12</v>
      </c>
      <c r="C62" s="98">
        <f t="shared" si="2"/>
        <v>0</v>
      </c>
      <c r="D62" s="98">
        <f>F61*IPOTEZE!$C$29/12</f>
        <v>0</v>
      </c>
      <c r="E62" s="99">
        <f>IF(F61&lt;1,0,IF((ROW(B62)-ROW($B$15)+1)&gt;IPOTEZE!$C$28,IPOTEZE!$C$26/(IPOTEZE!$C$27*12-IPOTEZE!$C$28),0))</f>
        <v>0</v>
      </c>
      <c r="F62" s="116">
        <f t="shared" si="3"/>
        <v>0</v>
      </c>
      <c r="G62" s="126"/>
      <c r="H62" s="4"/>
      <c r="I62" s="1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106"/>
      <c r="B63" s="117">
        <v>1</v>
      </c>
      <c r="C63" s="96">
        <f t="shared" si="2"/>
        <v>0</v>
      </c>
      <c r="D63" s="96">
        <f>F62*IPOTEZE!$C$29/12</f>
        <v>0</v>
      </c>
      <c r="E63" s="100">
        <f>IF(F62&lt;1,0,IF((ROW(B63)-ROW($B$15)+1)&gt;IPOTEZE!$C$28,IPOTEZE!$C$26/(IPOTEZE!$C$27*12-IPOTEZE!$C$28),0))</f>
        <v>0</v>
      </c>
      <c r="F63" s="118">
        <f t="shared" si="3"/>
        <v>0</v>
      </c>
      <c r="G63" s="126"/>
      <c r="H63" s="4"/>
      <c r="I63" s="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104"/>
      <c r="B64" s="114">
        <v>2</v>
      </c>
      <c r="C64" s="97">
        <f t="shared" si="2"/>
        <v>0</v>
      </c>
      <c r="D64" s="97">
        <f>F63*IPOTEZE!$C$29/12</f>
        <v>0</v>
      </c>
      <c r="E64" s="97">
        <f>IF(F63&lt;1,0,IF((ROW(B64)-ROW($B$15)+1)&gt;IPOTEZE!$C$28,IPOTEZE!$C$26/(IPOTEZE!$C$27*12-IPOTEZE!$C$28),0))</f>
        <v>0</v>
      </c>
      <c r="F64" s="113">
        <f t="shared" si="3"/>
        <v>0</v>
      </c>
      <c r="G64" s="126"/>
      <c r="H64" s="4"/>
      <c r="I64" s="1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104"/>
      <c r="B65" s="114">
        <v>3</v>
      </c>
      <c r="C65" s="97">
        <f t="shared" si="2"/>
        <v>0</v>
      </c>
      <c r="D65" s="97">
        <f>F64*IPOTEZE!$C$29/12</f>
        <v>0</v>
      </c>
      <c r="E65" s="97">
        <f>IF(F64&lt;1,0,IF((ROW(B65)-ROW($B$15)+1)&gt;IPOTEZE!$C$28,IPOTEZE!$C$26/(IPOTEZE!$C$27*12-IPOTEZE!$C$28),0))</f>
        <v>0</v>
      </c>
      <c r="F65" s="113">
        <f t="shared" si="3"/>
        <v>0</v>
      </c>
      <c r="G65" s="126"/>
      <c r="H65" s="4"/>
      <c r="I65" s="1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104"/>
      <c r="B66" s="114">
        <v>4</v>
      </c>
      <c r="C66" s="97">
        <f t="shared" si="2"/>
        <v>0</v>
      </c>
      <c r="D66" s="97">
        <f>F65*IPOTEZE!$C$29/12</f>
        <v>0</v>
      </c>
      <c r="E66" s="97">
        <f>IF(F65&lt;1,0,IF((ROW(B66)-ROW($B$15)+1)&gt;IPOTEZE!$C$28,IPOTEZE!$C$26/(IPOTEZE!$C$27*12-IPOTEZE!$C$28),0))</f>
        <v>0</v>
      </c>
      <c r="F66" s="113">
        <f t="shared" si="3"/>
        <v>0</v>
      </c>
      <c r="G66" s="126"/>
      <c r="H66" s="4"/>
      <c r="I66" s="1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04"/>
      <c r="B67" s="114">
        <v>5</v>
      </c>
      <c r="C67" s="97">
        <f t="shared" si="2"/>
        <v>0</v>
      </c>
      <c r="D67" s="97">
        <f>F66*IPOTEZE!$C$29/12</f>
        <v>0</v>
      </c>
      <c r="E67" s="97">
        <f>IF(F66&lt;1,0,IF((ROW(B67)-ROW($B$15)+1)&gt;IPOTEZE!$C$28,IPOTEZE!$C$26/(IPOTEZE!$C$27*12-IPOTEZE!$C$28),0))</f>
        <v>0</v>
      </c>
      <c r="F67" s="113">
        <f t="shared" si="3"/>
        <v>0</v>
      </c>
      <c r="G67" s="126"/>
      <c r="H67" s="4"/>
      <c r="I67" s="1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104" t="s">
        <v>17</v>
      </c>
      <c r="B68" s="114">
        <v>6</v>
      </c>
      <c r="C68" s="97">
        <f t="shared" si="2"/>
        <v>0</v>
      </c>
      <c r="D68" s="97">
        <f>F67*IPOTEZE!$C$29/12</f>
        <v>0</v>
      </c>
      <c r="E68" s="97">
        <f>IF(F67&lt;1,0,IF((ROW(B68)-ROW($B$15)+1)&gt;IPOTEZE!$C$28,IPOTEZE!$C$26/(IPOTEZE!$C$27*12-IPOTEZE!$C$28),0))</f>
        <v>0</v>
      </c>
      <c r="F68" s="113">
        <f t="shared" si="3"/>
        <v>0</v>
      </c>
      <c r="G68" s="126"/>
      <c r="H68" s="4"/>
      <c r="I68" s="1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104"/>
      <c r="B69" s="114">
        <v>7</v>
      </c>
      <c r="C69" s="97">
        <f t="shared" si="2"/>
        <v>0</v>
      </c>
      <c r="D69" s="97">
        <f>F68*IPOTEZE!$C$29/12</f>
        <v>0</v>
      </c>
      <c r="E69" s="97">
        <f>IF(F68&lt;1,0,IF((ROW(B69)-ROW($B$15)+1)&gt;IPOTEZE!$C$28,IPOTEZE!$C$26/(IPOTEZE!$C$27*12-IPOTEZE!$C$28),0))</f>
        <v>0</v>
      </c>
      <c r="F69" s="113">
        <f t="shared" si="3"/>
        <v>0</v>
      </c>
      <c r="G69" s="126"/>
      <c r="H69" s="4"/>
      <c r="I69" s="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104"/>
      <c r="B70" s="114">
        <v>8</v>
      </c>
      <c r="C70" s="97">
        <f t="shared" si="2"/>
        <v>0</v>
      </c>
      <c r="D70" s="97">
        <f>F69*IPOTEZE!$C$29/12</f>
        <v>0</v>
      </c>
      <c r="E70" s="97">
        <f>IF(F69&lt;1,0,IF((ROW(B70)-ROW($B$15)+1)&gt;IPOTEZE!$C$28,IPOTEZE!$C$26/(IPOTEZE!$C$27*12-IPOTEZE!$C$28),0))</f>
        <v>0</v>
      </c>
      <c r="F70" s="113">
        <f t="shared" si="3"/>
        <v>0</v>
      </c>
      <c r="G70" s="126"/>
      <c r="H70" s="4"/>
      <c r="I70" s="1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104"/>
      <c r="B71" s="114">
        <v>9</v>
      </c>
      <c r="C71" s="97">
        <f t="shared" si="2"/>
        <v>0</v>
      </c>
      <c r="D71" s="97">
        <f>F70*IPOTEZE!$C$29/12</f>
        <v>0</v>
      </c>
      <c r="E71" s="97">
        <f>IF(F70&lt;1,0,IF((ROW(B71)-ROW($B$15)+1)&gt;IPOTEZE!$C$28,IPOTEZE!$C$26/(IPOTEZE!$C$27*12-IPOTEZE!$C$28),0))</f>
        <v>0</v>
      </c>
      <c r="F71" s="113">
        <f t="shared" si="3"/>
        <v>0</v>
      </c>
      <c r="G71" s="126"/>
      <c r="H71" s="4"/>
      <c r="I71" s="1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104"/>
      <c r="B72" s="114">
        <v>10</v>
      </c>
      <c r="C72" s="97">
        <f t="shared" si="2"/>
        <v>0</v>
      </c>
      <c r="D72" s="97">
        <f>F71*IPOTEZE!$C$29/12</f>
        <v>0</v>
      </c>
      <c r="E72" s="97">
        <f>IF(F71&lt;1,0,IF((ROW(B72)-ROW($B$15)+1)&gt;IPOTEZE!$C$28,IPOTEZE!$C$26/(IPOTEZE!$C$27*12-IPOTEZE!$C$28),0))</f>
        <v>0</v>
      </c>
      <c r="F72" s="113">
        <f t="shared" si="3"/>
        <v>0</v>
      </c>
      <c r="G72" s="126"/>
      <c r="H72" s="4"/>
      <c r="I72" s="1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104"/>
      <c r="B73" s="114">
        <v>11</v>
      </c>
      <c r="C73" s="97">
        <f t="shared" si="2"/>
        <v>0</v>
      </c>
      <c r="D73" s="97">
        <f>F72*IPOTEZE!$C$29/12</f>
        <v>0</v>
      </c>
      <c r="E73" s="97">
        <f>IF(F72&lt;1,0,IF((ROW(B73)-ROW($B$15)+1)&gt;IPOTEZE!$C$28,IPOTEZE!$C$26/(IPOTEZE!$C$27*12-IPOTEZE!$C$28),0))</f>
        <v>0</v>
      </c>
      <c r="F73" s="113">
        <f t="shared" si="3"/>
        <v>0</v>
      </c>
      <c r="G73" s="126"/>
      <c r="H73" s="4"/>
      <c r="I73" s="1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04"/>
      <c r="B74" s="119">
        <v>12</v>
      </c>
      <c r="C74" s="101">
        <f t="shared" si="2"/>
        <v>0</v>
      </c>
      <c r="D74" s="101">
        <f>F73*IPOTEZE!$C$29/12</f>
        <v>0</v>
      </c>
      <c r="E74" s="101">
        <f>IF(F73&lt;1,0,IF((ROW(B74)-ROW($B$15)+1)&gt;IPOTEZE!$C$28,IPOTEZE!$C$26/(IPOTEZE!$C$27*12-IPOTEZE!$C$28),0))</f>
        <v>0</v>
      </c>
      <c r="F74" s="120">
        <f t="shared" si="3"/>
        <v>0</v>
      </c>
      <c r="G74" s="126"/>
      <c r="H74" s="4"/>
      <c r="I74" s="1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3.5" thickBot="1">
      <c r="A75" s="107"/>
      <c r="B75" s="121"/>
      <c r="C75" s="103">
        <f>SUM(C15:C74)</f>
        <v>9515625</v>
      </c>
      <c r="D75" s="103">
        <f>SUM(D15:D74)</f>
        <v>2015625</v>
      </c>
      <c r="E75" s="103">
        <f>SUM(E15:E74)</f>
        <v>7500000</v>
      </c>
      <c r="F75" s="122"/>
      <c r="G75" s="126"/>
      <c r="H75" s="4"/>
      <c r="I75" s="1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86"/>
      <c r="B76" s="4"/>
      <c r="C76" s="87"/>
      <c r="D76" s="87"/>
      <c r="E76" s="87"/>
      <c r="F76" s="4"/>
      <c r="G76" s="4"/>
      <c r="H76" s="4"/>
      <c r="I76" s="8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86"/>
      <c r="B77" s="4"/>
      <c r="C77" s="87"/>
      <c r="D77" s="87"/>
      <c r="E77" s="87"/>
      <c r="F77" s="4"/>
      <c r="G77" s="4"/>
      <c r="H77" s="4"/>
      <c r="I77" s="8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86"/>
      <c r="B78" s="4"/>
      <c r="C78" s="87"/>
      <c r="D78" s="87"/>
      <c r="E78" s="87"/>
      <c r="F78" s="4"/>
      <c r="G78" s="4"/>
      <c r="H78" s="4"/>
      <c r="I78" s="8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86"/>
      <c r="B79" s="4"/>
      <c r="C79" s="87"/>
      <c r="D79" s="87"/>
      <c r="E79" s="87"/>
      <c r="F79" s="4"/>
      <c r="G79" s="4"/>
      <c r="H79" s="4"/>
      <c r="I79" s="8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86"/>
      <c r="B80" s="4"/>
      <c r="C80" s="87"/>
      <c r="D80" s="87"/>
      <c r="E80" s="87"/>
      <c r="F80" s="4"/>
      <c r="G80" s="4"/>
      <c r="H80" s="4"/>
      <c r="I80" s="8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86"/>
      <c r="B81" s="4"/>
      <c r="C81" s="87"/>
      <c r="D81" s="87"/>
      <c r="E81" s="87"/>
      <c r="F81" s="4"/>
      <c r="G81" s="4"/>
      <c r="H81" s="4"/>
      <c r="I81" s="8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86"/>
      <c r="B82" s="4"/>
      <c r="C82" s="87"/>
      <c r="D82" s="87"/>
      <c r="E82" s="87"/>
      <c r="F82" s="4"/>
      <c r="G82" s="4"/>
      <c r="H82" s="4"/>
      <c r="I82" s="8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86"/>
      <c r="B83" s="4"/>
      <c r="C83" s="87"/>
      <c r="D83" s="87"/>
      <c r="E83" s="87"/>
      <c r="F83" s="4"/>
      <c r="G83" s="4"/>
      <c r="H83" s="4"/>
      <c r="I83" s="8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86"/>
      <c r="B84" s="4"/>
      <c r="C84" s="87"/>
      <c r="D84" s="87"/>
      <c r="E84" s="87"/>
      <c r="F84" s="4"/>
      <c r="G84" s="4"/>
      <c r="H84" s="4"/>
      <c r="I84" s="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86"/>
      <c r="B85" s="4"/>
      <c r="C85" s="87"/>
      <c r="D85" s="87"/>
      <c r="E85" s="87"/>
      <c r="F85" s="4"/>
      <c r="G85" s="4"/>
      <c r="H85" s="4"/>
      <c r="I85" s="8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86"/>
      <c r="B86" s="4"/>
      <c r="C86" s="87"/>
      <c r="D86" s="87"/>
      <c r="E86" s="87"/>
      <c r="F86" s="4"/>
      <c r="G86" s="4"/>
      <c r="H86" s="4"/>
      <c r="I86" s="8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86"/>
      <c r="B87" s="4"/>
      <c r="C87" s="87"/>
      <c r="D87" s="87"/>
      <c r="E87" s="87"/>
      <c r="F87" s="4"/>
      <c r="G87" s="4"/>
      <c r="H87" s="4"/>
      <c r="I87" s="8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83"/>
      <c r="B88" s="4"/>
      <c r="C88" s="4"/>
      <c r="D88" s="83"/>
      <c r="E88" s="4"/>
      <c r="F88" s="4"/>
      <c r="G88" s="4"/>
      <c r="H88" s="4"/>
      <c r="I88" s="1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0.25">
      <c r="A89" s="3"/>
      <c r="C89" s="128" t="s">
        <v>289</v>
      </c>
      <c r="D89" s="60"/>
      <c r="E89" s="92"/>
      <c r="F89" s="57"/>
      <c r="G89" s="2"/>
      <c r="H89" s="2"/>
      <c r="I89" s="1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78"/>
      <c r="B90" s="2"/>
      <c r="C90" s="2"/>
      <c r="D90" s="78"/>
      <c r="E90" s="2"/>
      <c r="F90" s="2"/>
      <c r="G90" s="2"/>
      <c r="H90" s="2"/>
      <c r="I90" s="1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88"/>
      <c r="B91" s="150" t="s">
        <v>7</v>
      </c>
      <c r="C91" s="150" t="s">
        <v>8</v>
      </c>
      <c r="D91" s="150" t="s">
        <v>12</v>
      </c>
      <c r="E91" s="150" t="s">
        <v>13</v>
      </c>
      <c r="F91" s="150" t="s">
        <v>15</v>
      </c>
      <c r="G91" s="150" t="s">
        <v>288</v>
      </c>
      <c r="H91" s="2"/>
      <c r="I91" s="1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152" t="s">
        <v>18</v>
      </c>
      <c r="B92" s="127">
        <f>SUM(E15:E26)</f>
        <v>1500000</v>
      </c>
      <c r="C92" s="127">
        <f>SUM(E27:E38)</f>
        <v>3000000</v>
      </c>
      <c r="D92" s="127">
        <f>SUM(E39:E50)</f>
        <v>3000000</v>
      </c>
      <c r="E92" s="127">
        <f>SUM(E51:E62)</f>
        <v>0</v>
      </c>
      <c r="F92" s="127">
        <f>SUM(E63:E74)</f>
        <v>0</v>
      </c>
      <c r="G92" s="151">
        <f>SUM(B92:F92)</f>
        <v>7500000</v>
      </c>
      <c r="H92" s="2"/>
      <c r="I92" s="1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152" t="s">
        <v>19</v>
      </c>
      <c r="B93" s="127">
        <f>SUM(D15:D26)</f>
        <v>1078125</v>
      </c>
      <c r="C93" s="127">
        <f>SUM(D27:D38)</f>
        <v>693750</v>
      </c>
      <c r="D93" s="127">
        <f>SUM(D39:D50)</f>
        <v>243750</v>
      </c>
      <c r="E93" s="127">
        <f>SUM(D51:D62)</f>
        <v>0</v>
      </c>
      <c r="F93" s="127">
        <f>SUM(D63:D74)</f>
        <v>0</v>
      </c>
      <c r="G93" s="151">
        <f>SUM(B93:F93)</f>
        <v>2015625</v>
      </c>
      <c r="H93" s="2"/>
      <c r="I93" s="1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52" t="s">
        <v>20</v>
      </c>
      <c r="B94" s="127">
        <f>SUM(C15:C26)</f>
        <v>2578125</v>
      </c>
      <c r="C94" s="127">
        <f>SUM(C27:C38)</f>
        <v>3693750</v>
      </c>
      <c r="D94" s="127">
        <f>SUM(C39:C50)</f>
        <v>3243750</v>
      </c>
      <c r="E94" s="127">
        <f>SUM(C51:C62)</f>
        <v>0</v>
      </c>
      <c r="F94" s="127">
        <f>SUM(C63:C74)</f>
        <v>0</v>
      </c>
      <c r="G94" s="151">
        <f>SUM(B94:F94)</f>
        <v>9515625</v>
      </c>
      <c r="H94" s="2"/>
      <c r="I94" s="1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7" ht="12.75"/>
    <row r="98" ht="12.75">
      <c r="A98" s="90"/>
    </row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V105"/>
  <sheetViews>
    <sheetView showRowColHeaders="0" zoomScale="87" zoomScaleNormal="87" zoomScalePageLayoutView="0" workbookViewId="0" topLeftCell="A1">
      <selection activeCell="I6" sqref="I6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33.28125" style="3" customWidth="1"/>
    <col min="4" max="4" width="10.421875" style="3" customWidth="1"/>
    <col min="5" max="8" width="13.28125" style="3" customWidth="1"/>
    <col min="9" max="9" width="9.421875" style="3" customWidth="1"/>
    <col min="10" max="10" width="10.00390625" style="3" customWidth="1"/>
    <col min="11" max="14" width="9.421875" style="3" customWidth="1"/>
    <col min="15" max="16" width="12.57421875" style="3" customWidth="1"/>
    <col min="17" max="16384" width="8.8515625" style="3" customWidth="1"/>
  </cols>
  <sheetData>
    <row r="2" ht="12.75">
      <c r="C2" s="7"/>
    </row>
    <row r="3" spans="7:9" ht="23.25">
      <c r="G3" s="390" t="s">
        <v>321</v>
      </c>
      <c r="H3" s="391"/>
      <c r="I3" s="391"/>
    </row>
    <row r="5" ht="12.75">
      <c r="C5" s="7"/>
    </row>
    <row r="6" ht="12.75"/>
    <row r="8" ht="23.25">
      <c r="F8" s="129" t="s">
        <v>253</v>
      </c>
    </row>
    <row r="10" spans="2:16" ht="12.75">
      <c r="B10" s="130"/>
      <c r="C10" s="27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2.75">
      <c r="B11" s="13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4"/>
    </row>
    <row r="12" spans="2:16" ht="15.75">
      <c r="B12" s="147"/>
      <c r="C12" s="148" t="s">
        <v>48</v>
      </c>
      <c r="D12" s="149">
        <v>1</v>
      </c>
      <c r="E12" s="149">
        <v>2</v>
      </c>
      <c r="F12" s="149">
        <v>3</v>
      </c>
      <c r="G12" s="149">
        <v>4</v>
      </c>
      <c r="H12" s="149">
        <v>5</v>
      </c>
      <c r="I12" s="149">
        <v>6</v>
      </c>
      <c r="J12" s="149">
        <v>7</v>
      </c>
      <c r="K12" s="149">
        <v>8</v>
      </c>
      <c r="L12" s="149">
        <v>9</v>
      </c>
      <c r="M12" s="149">
        <v>10</v>
      </c>
      <c r="N12" s="149">
        <v>11</v>
      </c>
      <c r="O12" s="149">
        <v>12</v>
      </c>
      <c r="P12" s="149" t="s">
        <v>49</v>
      </c>
    </row>
    <row r="13" spans="2:16" ht="12.75">
      <c r="B13" s="153" t="s">
        <v>50</v>
      </c>
      <c r="C13" s="63" t="s">
        <v>51</v>
      </c>
      <c r="D13" s="41">
        <f>IPOTEZE!C88</f>
        <v>1000000</v>
      </c>
      <c r="E13" s="41">
        <f>D13*(1+IPOTEZE!D88/100)</f>
        <v>1250000</v>
      </c>
      <c r="F13" s="41">
        <f>E13*(1+IPOTEZE!E88/100)</f>
        <v>1250000</v>
      </c>
      <c r="G13" s="41">
        <f>F13*(1+IPOTEZE!F88/100)</f>
        <v>1250000</v>
      </c>
      <c r="H13" s="41">
        <f>G13*(1+IPOTEZE!G88/100)</f>
        <v>1375000</v>
      </c>
      <c r="I13" s="41">
        <f>H13*(1+IPOTEZE!H88/100)</f>
        <v>1375000</v>
      </c>
      <c r="J13" s="41">
        <f>I13*(1+IPOTEZE!I88/100)</f>
        <v>1375000</v>
      </c>
      <c r="K13" s="41">
        <f>J13*(1+IPOTEZE!J88/100)</f>
        <v>1375000</v>
      </c>
      <c r="L13" s="41">
        <f>K13*(1+IPOTEZE!K88/100)</f>
        <v>1375000</v>
      </c>
      <c r="M13" s="41">
        <f>L13*(1+IPOTEZE!L88/100)</f>
        <v>1512500.0000000002</v>
      </c>
      <c r="N13" s="41">
        <f>M13*(1+IPOTEZE!M88/100)</f>
        <v>2132625</v>
      </c>
      <c r="O13" s="41">
        <f>N13*(1+IPOTEZE!N88/100)</f>
        <v>2132625</v>
      </c>
      <c r="P13" s="156">
        <f aca="true" t="shared" si="0" ref="P13:P34">SUM(D13:O13)</f>
        <v>17402750</v>
      </c>
    </row>
    <row r="14" spans="2:16" ht="25.5">
      <c r="B14" s="153" t="s">
        <v>52</v>
      </c>
      <c r="C14" s="63" t="s">
        <v>53</v>
      </c>
      <c r="D14" s="41">
        <f>IPOTEZE!C89</f>
        <v>600000</v>
      </c>
      <c r="E14" s="41">
        <f>D14*(1+IPOTEZE!D89/100)</f>
        <v>630000</v>
      </c>
      <c r="F14" s="41">
        <f>E14*(1+IPOTEZE!E89/100)</f>
        <v>648900</v>
      </c>
      <c r="G14" s="41">
        <f>F14*(1+IPOTEZE!F89/100)</f>
        <v>674856</v>
      </c>
      <c r="H14" s="41">
        <f>G14*(1+IPOTEZE!G89/100)</f>
        <v>674856</v>
      </c>
      <c r="I14" s="41">
        <f>H14*(1+IPOTEZE!H89/100)</f>
        <v>742341.6000000001</v>
      </c>
      <c r="J14" s="41">
        <f>I14*(1+IPOTEZE!I89/100)</f>
        <v>772035.2640000001</v>
      </c>
      <c r="K14" s="41">
        <f>J14*(1+IPOTEZE!J89/100)</f>
        <v>772035.2640000001</v>
      </c>
      <c r="L14" s="41">
        <f>K14*(1+IPOTEZE!K89/100)</f>
        <v>864679.4956800002</v>
      </c>
      <c r="M14" s="41">
        <f>L14*(1+IPOTEZE!L89/100)</f>
        <v>864679.4956800002</v>
      </c>
      <c r="N14" s="41">
        <f>M14*(1+IPOTEZE!M89/100)</f>
        <v>864679.4956800002</v>
      </c>
      <c r="O14" s="41">
        <f>N14*(1+IPOTEZE!N89/100)</f>
        <v>864679.4956800002</v>
      </c>
      <c r="P14" s="156">
        <f t="shared" si="0"/>
        <v>8973742.110720003</v>
      </c>
    </row>
    <row r="15" spans="2:17" ht="12.75">
      <c r="B15" s="154" t="s">
        <v>54</v>
      </c>
      <c r="C15" s="64" t="s">
        <v>55</v>
      </c>
      <c r="D15" s="42">
        <f aca="true" t="shared" si="1" ref="D15:O15">D13+D14</f>
        <v>1600000</v>
      </c>
      <c r="E15" s="42">
        <f t="shared" si="1"/>
        <v>1880000</v>
      </c>
      <c r="F15" s="42">
        <f t="shared" si="1"/>
        <v>1898900</v>
      </c>
      <c r="G15" s="42">
        <f t="shared" si="1"/>
        <v>1924856</v>
      </c>
      <c r="H15" s="42">
        <f t="shared" si="1"/>
        <v>2049856</v>
      </c>
      <c r="I15" s="42">
        <f t="shared" si="1"/>
        <v>2117341.6</v>
      </c>
      <c r="J15" s="42">
        <f t="shared" si="1"/>
        <v>2147035.264</v>
      </c>
      <c r="K15" s="42">
        <f t="shared" si="1"/>
        <v>2147035.264</v>
      </c>
      <c r="L15" s="42">
        <f t="shared" si="1"/>
        <v>2239679.49568</v>
      </c>
      <c r="M15" s="42">
        <f t="shared" si="1"/>
        <v>2377179.4956800006</v>
      </c>
      <c r="N15" s="42">
        <f t="shared" si="1"/>
        <v>2997304.49568</v>
      </c>
      <c r="O15" s="42">
        <f t="shared" si="1"/>
        <v>2997304.49568</v>
      </c>
      <c r="P15" s="156">
        <f t="shared" si="0"/>
        <v>26376492.11072</v>
      </c>
      <c r="Q15" s="20"/>
    </row>
    <row r="16" spans="2:16" ht="12.75">
      <c r="B16" s="153">
        <v>4</v>
      </c>
      <c r="C16" s="63" t="s">
        <v>56</v>
      </c>
      <c r="D16" s="41">
        <f>IPOTEZE!C90</f>
        <v>100000</v>
      </c>
      <c r="E16" s="41">
        <f>D16*(1+IPOTEZE!D90/100)</f>
        <v>110000.00000000001</v>
      </c>
      <c r="F16" s="41">
        <f>E16*(1+IPOTEZE!E90/100)</f>
        <v>110000.00000000001</v>
      </c>
      <c r="G16" s="41">
        <f>F16*(1+IPOTEZE!F90/100)</f>
        <v>110000.00000000001</v>
      </c>
      <c r="H16" s="41">
        <f>G16*(1+IPOTEZE!G90/100)</f>
        <v>110000.00000000001</v>
      </c>
      <c r="I16" s="41">
        <f>H16*(1+IPOTEZE!H90/100)</f>
        <v>110000.00000000001</v>
      </c>
      <c r="J16" s="41">
        <f>I16*(1+IPOTEZE!I90/100)</f>
        <v>110000.00000000001</v>
      </c>
      <c r="K16" s="41">
        <f>J16*(1+IPOTEZE!J90/100)</f>
        <v>121000.00000000003</v>
      </c>
      <c r="L16" s="41">
        <f>K16*(1+IPOTEZE!K90/100)</f>
        <v>121000.00000000003</v>
      </c>
      <c r="M16" s="41">
        <f>L16*(1+IPOTEZE!L90/100)</f>
        <v>121000.00000000003</v>
      </c>
      <c r="N16" s="41">
        <f>M16*(1+IPOTEZE!M90/100)</f>
        <v>121000.00000000003</v>
      </c>
      <c r="O16" s="41">
        <f>N16*(1+IPOTEZE!N90/100)</f>
        <v>121000.00000000003</v>
      </c>
      <c r="P16" s="156">
        <f t="shared" si="0"/>
        <v>1365000</v>
      </c>
    </row>
    <row r="17" spans="2:16" ht="12.75">
      <c r="B17" s="154">
        <v>5</v>
      </c>
      <c r="C17" s="64" t="s">
        <v>57</v>
      </c>
      <c r="D17" s="42">
        <f aca="true" t="shared" si="2" ref="D17:O17">D15+D16</f>
        <v>1700000</v>
      </c>
      <c r="E17" s="42">
        <f t="shared" si="2"/>
        <v>1990000</v>
      </c>
      <c r="F17" s="42">
        <f t="shared" si="2"/>
        <v>2008900</v>
      </c>
      <c r="G17" s="42">
        <f t="shared" si="2"/>
        <v>2034856</v>
      </c>
      <c r="H17" s="42">
        <f t="shared" si="2"/>
        <v>2159856</v>
      </c>
      <c r="I17" s="42">
        <f t="shared" si="2"/>
        <v>2227341.6</v>
      </c>
      <c r="J17" s="42">
        <f t="shared" si="2"/>
        <v>2257035.264</v>
      </c>
      <c r="K17" s="42">
        <f t="shared" si="2"/>
        <v>2268035.264</v>
      </c>
      <c r="L17" s="42">
        <f t="shared" si="2"/>
        <v>2360679.49568</v>
      </c>
      <c r="M17" s="42">
        <f t="shared" si="2"/>
        <v>2498179.4956800006</v>
      </c>
      <c r="N17" s="42">
        <f t="shared" si="2"/>
        <v>3118304.49568</v>
      </c>
      <c r="O17" s="42">
        <f t="shared" si="2"/>
        <v>3118304.49568</v>
      </c>
      <c r="P17" s="156">
        <f t="shared" si="0"/>
        <v>27741492.11072</v>
      </c>
    </row>
    <row r="18" spans="2:17" ht="12.75">
      <c r="B18" s="155">
        <v>6</v>
      </c>
      <c r="C18" s="63" t="s">
        <v>58</v>
      </c>
      <c r="D18" s="41">
        <f>Costuri!D13</f>
        <v>625000</v>
      </c>
      <c r="E18" s="41">
        <f>Costuri!E13</f>
        <v>781250</v>
      </c>
      <c r="F18" s="41">
        <f>Costuri!F13</f>
        <v>781250</v>
      </c>
      <c r="G18" s="41">
        <f>Costuri!G13</f>
        <v>833333.3333333334</v>
      </c>
      <c r="H18" s="41">
        <f>Costuri!H13</f>
        <v>859375</v>
      </c>
      <c r="I18" s="41">
        <f>Costuri!I13</f>
        <v>859375</v>
      </c>
      <c r="J18" s="41">
        <f>Costuri!J13</f>
        <v>859375</v>
      </c>
      <c r="K18" s="41">
        <f>Costuri!K13</f>
        <v>859375</v>
      </c>
      <c r="L18" s="41">
        <f>Costuri!L13</f>
        <v>687500</v>
      </c>
      <c r="M18" s="41">
        <f>Costuri!M13</f>
        <v>605000.0000000001</v>
      </c>
      <c r="N18" s="41">
        <f>Costuri!N13</f>
        <v>1066312.5</v>
      </c>
      <c r="O18" s="41">
        <f>Costuri!O13</f>
        <v>1066312.5</v>
      </c>
      <c r="P18" s="156">
        <f t="shared" si="0"/>
        <v>9883458.333333334</v>
      </c>
      <c r="Q18" s="20"/>
    </row>
    <row r="19" spans="2:16" ht="25.5">
      <c r="B19" s="153">
        <v>7</v>
      </c>
      <c r="C19" s="63" t="s">
        <v>59</v>
      </c>
      <c r="D19" s="41">
        <f>Costuri!D14+Costuri!D15</f>
        <v>222000</v>
      </c>
      <c r="E19" s="41">
        <f>Costuri!E14+Costuri!E15</f>
        <v>233100</v>
      </c>
      <c r="F19" s="41">
        <f>Costuri!F14+Costuri!F15</f>
        <v>240093</v>
      </c>
      <c r="G19" s="41">
        <f>Costuri!G14+Costuri!G15</f>
        <v>249696.72</v>
      </c>
      <c r="H19" s="41">
        <f>Costuri!H14+Costuri!H15</f>
        <v>249696.72</v>
      </c>
      <c r="I19" s="41">
        <f>Costuri!I14+Costuri!I15</f>
        <v>274666.39200000005</v>
      </c>
      <c r="J19" s="41">
        <f>Costuri!J14+Costuri!J15</f>
        <v>285653.04768</v>
      </c>
      <c r="K19" s="41">
        <f>Costuri!K14+Costuri!K15</f>
        <v>285653.04768</v>
      </c>
      <c r="L19" s="41">
        <f>Costuri!L14+Costuri!L15</f>
        <v>319931.4134016001</v>
      </c>
      <c r="M19" s="41">
        <f>Costuri!M14+Costuri!M15</f>
        <v>319931.4134016001</v>
      </c>
      <c r="N19" s="41">
        <f>Costuri!N14+Costuri!N15</f>
        <v>319931.4134016001</v>
      </c>
      <c r="O19" s="41">
        <f>Costuri!O14+Costuri!O15</f>
        <v>319931.4134016001</v>
      </c>
      <c r="P19" s="156">
        <f t="shared" si="0"/>
        <v>3320284.5809664</v>
      </c>
    </row>
    <row r="20" spans="2:16" ht="12.75">
      <c r="B20" s="153">
        <v>8</v>
      </c>
      <c r="C20" s="63" t="s">
        <v>60</v>
      </c>
      <c r="D20" s="41">
        <f>Costuri!D18+Costuri!D25+Costuri!D26</f>
        <v>264500</v>
      </c>
      <c r="E20" s="41">
        <f>Costuri!E18+Costuri!E25+Costuri!E26</f>
        <v>305900</v>
      </c>
      <c r="F20" s="41">
        <f>Costuri!F18+Costuri!F25+Costuri!F26</f>
        <v>308357</v>
      </c>
      <c r="G20" s="41">
        <f>Costuri!G18+Costuri!G25+Costuri!G26</f>
        <v>311731.28</v>
      </c>
      <c r="H20" s="41">
        <f>Costuri!H18+Costuri!H25+Costuri!H26</f>
        <v>327981.28</v>
      </c>
      <c r="I20" s="41">
        <f>Costuri!I18+Costuri!I25+Costuri!I26</f>
        <v>342254.408</v>
      </c>
      <c r="J20" s="41">
        <f>Costuri!J18+Costuri!J25+Costuri!J26</f>
        <v>346114.58432</v>
      </c>
      <c r="K20" s="41">
        <f>Costuri!K18+Costuri!K25+Costuri!K26</f>
        <v>346114.58432</v>
      </c>
      <c r="L20" s="41">
        <f>Costuri!L18+Costuri!L25+Costuri!L26</f>
        <v>358158.3344384</v>
      </c>
      <c r="M20" s="41">
        <f>Costuri!M18+Costuri!M25+Costuri!M26</f>
        <v>376033.3344384001</v>
      </c>
      <c r="N20" s="41">
        <f>Costuri!N18+Costuri!N25+Costuri!N26</f>
        <v>456649.5844384</v>
      </c>
      <c r="O20" s="41">
        <f>Costuri!O18+Costuri!O25+Costuri!O26</f>
        <v>465724.5844384</v>
      </c>
      <c r="P20" s="156">
        <f t="shared" si="0"/>
        <v>4209518.9743936</v>
      </c>
    </row>
    <row r="21" spans="2:16" ht="12.75">
      <c r="B21" s="153">
        <v>9</v>
      </c>
      <c r="C21" s="63" t="s">
        <v>61</v>
      </c>
      <c r="D21" s="41">
        <f>Costuri!D27</f>
        <v>500</v>
      </c>
      <c r="E21" s="41">
        <f>Costuri!E27</f>
        <v>0</v>
      </c>
      <c r="F21" s="41">
        <f>Costuri!F27</f>
        <v>1000</v>
      </c>
      <c r="G21" s="41">
        <f>Costuri!G27</f>
        <v>0</v>
      </c>
      <c r="H21" s="41">
        <f>Costuri!H27</f>
        <v>0</v>
      </c>
      <c r="I21" s="41">
        <f>Costuri!I27</f>
        <v>2000</v>
      </c>
      <c r="J21" s="41">
        <f>Costuri!J27</f>
        <v>0</v>
      </c>
      <c r="K21" s="41">
        <f>Costuri!K27</f>
        <v>0</v>
      </c>
      <c r="L21" s="41">
        <f>Costuri!L27</f>
        <v>0</v>
      </c>
      <c r="M21" s="41">
        <f>Costuri!M27</f>
        <v>0</v>
      </c>
      <c r="N21" s="41">
        <f>Costuri!N27</f>
        <v>0</v>
      </c>
      <c r="O21" s="41">
        <f>Costuri!O27</f>
        <v>0</v>
      </c>
      <c r="P21" s="156">
        <f t="shared" si="0"/>
        <v>3500</v>
      </c>
    </row>
    <row r="22" spans="2:16" ht="25.5">
      <c r="B22" s="153">
        <v>10</v>
      </c>
      <c r="C22" s="63" t="s">
        <v>62</v>
      </c>
      <c r="D22" s="41">
        <f>Costuri!D16+Costuri!D24/1.38</f>
        <v>190000</v>
      </c>
      <c r="E22" s="41">
        <f>Costuri!E16+Costuri!E24/1.38</f>
        <v>193000</v>
      </c>
      <c r="F22" s="41">
        <f>Costuri!F16+Costuri!F24/1.38</f>
        <v>193000</v>
      </c>
      <c r="G22" s="41">
        <f>Costuri!G16+Costuri!G24/1.38</f>
        <v>193000</v>
      </c>
      <c r="H22" s="41">
        <f>Costuri!H16+Costuri!H24/1.38</f>
        <v>193000</v>
      </c>
      <c r="I22" s="41">
        <f>Costuri!I16+Costuri!I24/1.38</f>
        <v>196060</v>
      </c>
      <c r="J22" s="41">
        <f>Costuri!J16+Costuri!J24/1.38</f>
        <v>196060</v>
      </c>
      <c r="K22" s="41">
        <f>Costuri!K16+Costuri!K24/1.38</f>
        <v>196060</v>
      </c>
      <c r="L22" s="41">
        <f>Costuri!L16+Costuri!L24/1.38</f>
        <v>196060</v>
      </c>
      <c r="M22" s="41">
        <f>Costuri!M16+Costuri!M24/1.38</f>
        <v>199181.2</v>
      </c>
      <c r="N22" s="41">
        <f>Costuri!N16+Costuri!N24/1.38</f>
        <v>199181.2</v>
      </c>
      <c r="O22" s="41">
        <f>Costuri!O16+Costuri!O24/1.38</f>
        <v>199181.2</v>
      </c>
      <c r="P22" s="156">
        <f t="shared" si="0"/>
        <v>2343783.6</v>
      </c>
    </row>
    <row r="23" spans="2:16" ht="25.5">
      <c r="B23" s="153">
        <v>11</v>
      </c>
      <c r="C23" s="63" t="s">
        <v>63</v>
      </c>
      <c r="D23" s="41">
        <f>Costuri!D17+(Costuri!D24/1.38)*0.38</f>
        <v>72200</v>
      </c>
      <c r="E23" s="41">
        <f>Costuri!E17+(Costuri!E24/1.38)*0.38</f>
        <v>73340</v>
      </c>
      <c r="F23" s="41">
        <f>Costuri!F17+(Costuri!F24/1.38)*0.38</f>
        <v>73340</v>
      </c>
      <c r="G23" s="41">
        <f>Costuri!G17+(Costuri!G24/1.38)*0.38</f>
        <v>73340</v>
      </c>
      <c r="H23" s="41">
        <f>Costuri!H17+(Costuri!H24/1.38)*0.38</f>
        <v>73340</v>
      </c>
      <c r="I23" s="41">
        <f>Costuri!I17+(Costuri!I24/1.38)*0.38</f>
        <v>74502.8</v>
      </c>
      <c r="J23" s="41">
        <f>Costuri!J17+(Costuri!J24/1.38)*0.38</f>
        <v>74502.8</v>
      </c>
      <c r="K23" s="41">
        <f>Costuri!K17+(Costuri!K24/1.38)*0.38</f>
        <v>74502.8</v>
      </c>
      <c r="L23" s="41">
        <f>Costuri!L17+(Costuri!L24/1.38)*0.38</f>
        <v>74502.8</v>
      </c>
      <c r="M23" s="41">
        <f>Costuri!M17+(Costuri!M24/1.38)*0.38</f>
        <v>75688.856</v>
      </c>
      <c r="N23" s="41">
        <f>Costuri!N17+(Costuri!N24/1.38)*0.38</f>
        <v>75688.856</v>
      </c>
      <c r="O23" s="41">
        <f>Costuri!O17+(Costuri!O24/1.38)*0.38</f>
        <v>75688.856</v>
      </c>
      <c r="P23" s="156">
        <f t="shared" si="0"/>
        <v>890637.7680000002</v>
      </c>
    </row>
    <row r="24" spans="2:16" ht="12.75">
      <c r="B24" s="153">
        <v>12</v>
      </c>
      <c r="C24" s="63" t="s">
        <v>64</v>
      </c>
      <c r="D24" s="41">
        <f aca="true" t="shared" si="3" ref="D24:O24">D23+D22</f>
        <v>262200</v>
      </c>
      <c r="E24" s="41">
        <f t="shared" si="3"/>
        <v>266340</v>
      </c>
      <c r="F24" s="41">
        <f t="shared" si="3"/>
        <v>266340</v>
      </c>
      <c r="G24" s="41">
        <f t="shared" si="3"/>
        <v>266340</v>
      </c>
      <c r="H24" s="41">
        <f t="shared" si="3"/>
        <v>266340</v>
      </c>
      <c r="I24" s="41">
        <f t="shared" si="3"/>
        <v>270562.8</v>
      </c>
      <c r="J24" s="41">
        <f t="shared" si="3"/>
        <v>270562.8</v>
      </c>
      <c r="K24" s="41">
        <f t="shared" si="3"/>
        <v>270562.8</v>
      </c>
      <c r="L24" s="41">
        <f t="shared" si="3"/>
        <v>270562.8</v>
      </c>
      <c r="M24" s="41">
        <f t="shared" si="3"/>
        <v>274870.056</v>
      </c>
      <c r="N24" s="41">
        <f t="shared" si="3"/>
        <v>274870.056</v>
      </c>
      <c r="O24" s="41">
        <f t="shared" si="3"/>
        <v>274870.056</v>
      </c>
      <c r="P24" s="156">
        <f t="shared" si="0"/>
        <v>3234421.3679999993</v>
      </c>
    </row>
    <row r="25" spans="2:16" ht="25.5">
      <c r="B25" s="153">
        <v>13</v>
      </c>
      <c r="C25" s="63" t="s">
        <v>65</v>
      </c>
      <c r="D25" s="41">
        <f>Costuri!D23</f>
        <v>2000</v>
      </c>
      <c r="E25" s="41">
        <f>Costuri!E23</f>
        <v>2000</v>
      </c>
      <c r="F25" s="41">
        <f>Costuri!F23</f>
        <v>2250</v>
      </c>
      <c r="G25" s="41">
        <f>Costuri!G23</f>
        <v>2250</v>
      </c>
      <c r="H25" s="41">
        <f>Costuri!H23</f>
        <v>52250</v>
      </c>
      <c r="I25" s="41">
        <f>Costuri!I23</f>
        <v>53250</v>
      </c>
      <c r="J25" s="41">
        <f>Costuri!J23</f>
        <v>53250</v>
      </c>
      <c r="K25" s="41">
        <f>Costuri!K23</f>
        <v>53250</v>
      </c>
      <c r="L25" s="41">
        <f>Costuri!L23</f>
        <v>53250</v>
      </c>
      <c r="M25" s="41">
        <f>Costuri!M23</f>
        <v>53250</v>
      </c>
      <c r="N25" s="41">
        <f>Costuri!N23</f>
        <v>53250</v>
      </c>
      <c r="O25" s="41">
        <f>Costuri!O23</f>
        <v>53250</v>
      </c>
      <c r="P25" s="156">
        <f t="shared" si="0"/>
        <v>433500</v>
      </c>
    </row>
    <row r="26" spans="2:16" ht="25.5">
      <c r="B26" s="154">
        <v>14</v>
      </c>
      <c r="C26" s="64" t="s">
        <v>66</v>
      </c>
      <c r="D26" s="42">
        <f aca="true" t="shared" si="4" ref="D26:O26">D18+D19+D20+D21+D24+D25</f>
        <v>1376200</v>
      </c>
      <c r="E26" s="42">
        <f t="shared" si="4"/>
        <v>1588590</v>
      </c>
      <c r="F26" s="42">
        <f t="shared" si="4"/>
        <v>1599290</v>
      </c>
      <c r="G26" s="42">
        <f t="shared" si="4"/>
        <v>1663351.3333333335</v>
      </c>
      <c r="H26" s="42">
        <f t="shared" si="4"/>
        <v>1755643</v>
      </c>
      <c r="I26" s="42">
        <f t="shared" si="4"/>
        <v>1802108.6</v>
      </c>
      <c r="J26" s="42">
        <f t="shared" si="4"/>
        <v>1814955.4320000003</v>
      </c>
      <c r="K26" s="42">
        <f t="shared" si="4"/>
        <v>1814955.4320000003</v>
      </c>
      <c r="L26" s="42">
        <f t="shared" si="4"/>
        <v>1689402.5478400001</v>
      </c>
      <c r="M26" s="42">
        <f t="shared" si="4"/>
        <v>1629084.8038400002</v>
      </c>
      <c r="N26" s="42">
        <f t="shared" si="4"/>
        <v>2171013.5538399997</v>
      </c>
      <c r="O26" s="42">
        <f t="shared" si="4"/>
        <v>2180088.5538399997</v>
      </c>
      <c r="P26" s="156">
        <f t="shared" si="0"/>
        <v>21084683.256693333</v>
      </c>
    </row>
    <row r="27" spans="2:17" ht="12.75">
      <c r="B27" s="154">
        <v>15</v>
      </c>
      <c r="C27" s="64" t="s">
        <v>67</v>
      </c>
      <c r="D27" s="42">
        <f aca="true" t="shared" si="5" ref="D27:O27">D17-D26</f>
        <v>323800</v>
      </c>
      <c r="E27" s="42">
        <f t="shared" si="5"/>
        <v>401410</v>
      </c>
      <c r="F27" s="42">
        <f t="shared" si="5"/>
        <v>409610</v>
      </c>
      <c r="G27" s="42">
        <f t="shared" si="5"/>
        <v>371504.6666666665</v>
      </c>
      <c r="H27" s="42">
        <f t="shared" si="5"/>
        <v>404213</v>
      </c>
      <c r="I27" s="42">
        <f t="shared" si="5"/>
        <v>425233</v>
      </c>
      <c r="J27" s="42">
        <f t="shared" si="5"/>
        <v>442079.8319999997</v>
      </c>
      <c r="K27" s="42">
        <f t="shared" si="5"/>
        <v>453079.8319999997</v>
      </c>
      <c r="L27" s="42">
        <f t="shared" si="5"/>
        <v>671276.94784</v>
      </c>
      <c r="M27" s="42">
        <f t="shared" si="5"/>
        <v>869094.6918400005</v>
      </c>
      <c r="N27" s="42">
        <f t="shared" si="5"/>
        <v>947290.9418400005</v>
      </c>
      <c r="O27" s="42">
        <f t="shared" si="5"/>
        <v>938215.9418400005</v>
      </c>
      <c r="P27" s="156">
        <f t="shared" si="0"/>
        <v>6656808.854026668</v>
      </c>
      <c r="Q27" s="20"/>
    </row>
    <row r="28" spans="2:17" ht="12.75">
      <c r="B28" s="155">
        <v>16</v>
      </c>
      <c r="C28" s="63" t="s">
        <v>68</v>
      </c>
      <c r="D28" s="41">
        <f>IPOTEZE!C95</f>
        <v>8000</v>
      </c>
      <c r="E28" s="41">
        <f>IPOTEZE!D95</f>
        <v>10000</v>
      </c>
      <c r="F28" s="41">
        <f>IPOTEZE!E95</f>
        <v>2000</v>
      </c>
      <c r="G28" s="41">
        <f>IPOTEZE!F95</f>
        <v>0</v>
      </c>
      <c r="H28" s="41">
        <f>IPOTEZE!G95</f>
        <v>0</v>
      </c>
      <c r="I28" s="41">
        <f>IPOTEZE!H95</f>
        <v>0</v>
      </c>
      <c r="J28" s="41">
        <f>IPOTEZE!I95</f>
        <v>1500</v>
      </c>
      <c r="K28" s="41">
        <f>IPOTEZE!J95</f>
        <v>0</v>
      </c>
      <c r="L28" s="41">
        <f>IPOTEZE!K95</f>
        <v>0</v>
      </c>
      <c r="M28" s="41">
        <f>IPOTEZE!L95</f>
        <v>0</v>
      </c>
      <c r="N28" s="41">
        <f>IPOTEZE!M95</f>
        <v>0</v>
      </c>
      <c r="O28" s="41">
        <f>IPOTEZE!N95</f>
        <v>0</v>
      </c>
      <c r="P28" s="156">
        <f t="shared" si="0"/>
        <v>21500</v>
      </c>
      <c r="Q28" s="20"/>
    </row>
    <row r="29" spans="2:16" ht="12.75">
      <c r="B29" s="155">
        <v>17</v>
      </c>
      <c r="C29" s="63" t="s">
        <v>69</v>
      </c>
      <c r="D29" s="41">
        <f>Planramb!D15+IPOTEZE!C96</f>
        <v>108750</v>
      </c>
      <c r="E29" s="41">
        <f>Planramb!D16+IPOTEZE!D96</f>
        <v>103750</v>
      </c>
      <c r="F29" s="41">
        <f>Planramb!D17+IPOTEZE!E96</f>
        <v>93750</v>
      </c>
      <c r="G29" s="41">
        <f>Planramb!D18+IPOTEZE!F96</f>
        <v>93750</v>
      </c>
      <c r="H29" s="41">
        <f>Planramb!D19+IPOTEZE!G96</f>
        <v>93750</v>
      </c>
      <c r="I29" s="41">
        <f>Planramb!C20+IPOTEZE!H96</f>
        <v>118750</v>
      </c>
      <c r="J29" s="41">
        <f>Planramb!D21+IPOTEZE!I96</f>
        <v>93750</v>
      </c>
      <c r="K29" s="41">
        <f>Planramb!D22+IPOTEZE!J96</f>
        <v>90625</v>
      </c>
      <c r="L29" s="41">
        <f>Planramb!D23+IPOTEZE!K96</f>
        <v>87500</v>
      </c>
      <c r="M29" s="41">
        <f>Planramb!D24+IPOTEZE!L96</f>
        <v>84375</v>
      </c>
      <c r="N29" s="41">
        <f>Planramb!D25+IPOTEZE!M96</f>
        <v>81250</v>
      </c>
      <c r="O29" s="41">
        <f>Planramb!D26+IPOTEZE!N96</f>
        <v>78125</v>
      </c>
      <c r="P29" s="156">
        <f t="shared" si="0"/>
        <v>1128125</v>
      </c>
    </row>
    <row r="30" spans="2:16" ht="12.75">
      <c r="B30" s="154">
        <v>18</v>
      </c>
      <c r="C30" s="64" t="s">
        <v>70</v>
      </c>
      <c r="D30" s="42">
        <f aca="true" t="shared" si="6" ref="D30:O30">D28-D29</f>
        <v>-100750</v>
      </c>
      <c r="E30" s="42">
        <f t="shared" si="6"/>
        <v>-93750</v>
      </c>
      <c r="F30" s="42">
        <f t="shared" si="6"/>
        <v>-91750</v>
      </c>
      <c r="G30" s="42">
        <f t="shared" si="6"/>
        <v>-93750</v>
      </c>
      <c r="H30" s="42">
        <f t="shared" si="6"/>
        <v>-93750</v>
      </c>
      <c r="I30" s="42">
        <f t="shared" si="6"/>
        <v>-118750</v>
      </c>
      <c r="J30" s="42">
        <f t="shared" si="6"/>
        <v>-92250</v>
      </c>
      <c r="K30" s="42">
        <f t="shared" si="6"/>
        <v>-90625</v>
      </c>
      <c r="L30" s="42">
        <f t="shared" si="6"/>
        <v>-87500</v>
      </c>
      <c r="M30" s="42">
        <f t="shared" si="6"/>
        <v>-84375</v>
      </c>
      <c r="N30" s="42">
        <f t="shared" si="6"/>
        <v>-81250</v>
      </c>
      <c r="O30" s="42">
        <f t="shared" si="6"/>
        <v>-78125</v>
      </c>
      <c r="P30" s="156">
        <f t="shared" si="0"/>
        <v>-1106625</v>
      </c>
    </row>
    <row r="31" spans="2:17" ht="25.5">
      <c r="B31" s="154">
        <v>19</v>
      </c>
      <c r="C31" s="64" t="s">
        <v>71</v>
      </c>
      <c r="D31" s="42">
        <f aca="true" t="shared" si="7" ref="D31:O31">D30+D27</f>
        <v>223050</v>
      </c>
      <c r="E31" s="42">
        <f t="shared" si="7"/>
        <v>307660</v>
      </c>
      <c r="F31" s="42">
        <f t="shared" si="7"/>
        <v>317860</v>
      </c>
      <c r="G31" s="42">
        <f t="shared" si="7"/>
        <v>277754.6666666665</v>
      </c>
      <c r="H31" s="42">
        <f t="shared" si="7"/>
        <v>310463</v>
      </c>
      <c r="I31" s="42">
        <f t="shared" si="7"/>
        <v>306483</v>
      </c>
      <c r="J31" s="42">
        <f t="shared" si="7"/>
        <v>349829.8319999997</v>
      </c>
      <c r="K31" s="42">
        <f t="shared" si="7"/>
        <v>362454.8319999997</v>
      </c>
      <c r="L31" s="42">
        <f t="shared" si="7"/>
        <v>583776.94784</v>
      </c>
      <c r="M31" s="42">
        <f t="shared" si="7"/>
        <v>784719.6918400005</v>
      </c>
      <c r="N31" s="42">
        <f t="shared" si="7"/>
        <v>866040.9418400005</v>
      </c>
      <c r="O31" s="42">
        <f t="shared" si="7"/>
        <v>860090.9418400005</v>
      </c>
      <c r="P31" s="156">
        <f t="shared" si="0"/>
        <v>5550183.854026668</v>
      </c>
      <c r="Q31" s="20"/>
    </row>
    <row r="32" spans="2:17" ht="12.75">
      <c r="B32" s="155">
        <v>20</v>
      </c>
      <c r="C32" s="63" t="s">
        <v>262</v>
      </c>
      <c r="D32" s="41">
        <f aca="true" t="shared" si="8" ref="D32:O32">D17+D28</f>
        <v>1708000</v>
      </c>
      <c r="E32" s="41">
        <f t="shared" si="8"/>
        <v>2000000</v>
      </c>
      <c r="F32" s="41">
        <f t="shared" si="8"/>
        <v>2010900</v>
      </c>
      <c r="G32" s="41">
        <f t="shared" si="8"/>
        <v>2034856</v>
      </c>
      <c r="H32" s="41">
        <f t="shared" si="8"/>
        <v>2159856</v>
      </c>
      <c r="I32" s="41">
        <f t="shared" si="8"/>
        <v>2227341.6</v>
      </c>
      <c r="J32" s="41">
        <f t="shared" si="8"/>
        <v>2258535.264</v>
      </c>
      <c r="K32" s="41">
        <f t="shared" si="8"/>
        <v>2268035.264</v>
      </c>
      <c r="L32" s="41">
        <f t="shared" si="8"/>
        <v>2360679.49568</v>
      </c>
      <c r="M32" s="41">
        <f t="shared" si="8"/>
        <v>2498179.4956800006</v>
      </c>
      <c r="N32" s="41">
        <f t="shared" si="8"/>
        <v>3118304.49568</v>
      </c>
      <c r="O32" s="41">
        <f t="shared" si="8"/>
        <v>3118304.49568</v>
      </c>
      <c r="P32" s="156">
        <f t="shared" si="0"/>
        <v>27762992.11072</v>
      </c>
      <c r="Q32" s="20"/>
    </row>
    <row r="33" spans="2:16" ht="12.75">
      <c r="B33" s="155">
        <v>21</v>
      </c>
      <c r="C33" s="63" t="s">
        <v>263</v>
      </c>
      <c r="D33" s="41">
        <f aca="true" t="shared" si="9" ref="D33:O33">D26+D29</f>
        <v>1484950</v>
      </c>
      <c r="E33" s="41">
        <f t="shared" si="9"/>
        <v>1692340</v>
      </c>
      <c r="F33" s="41">
        <f t="shared" si="9"/>
        <v>1693040</v>
      </c>
      <c r="G33" s="41">
        <f t="shared" si="9"/>
        <v>1757101.3333333335</v>
      </c>
      <c r="H33" s="41">
        <f t="shared" si="9"/>
        <v>1849393</v>
      </c>
      <c r="I33" s="41">
        <f t="shared" si="9"/>
        <v>1920858.6</v>
      </c>
      <c r="J33" s="41">
        <f t="shared" si="9"/>
        <v>1908705.4320000003</v>
      </c>
      <c r="K33" s="41">
        <f t="shared" si="9"/>
        <v>1905580.4320000003</v>
      </c>
      <c r="L33" s="41">
        <f t="shared" si="9"/>
        <v>1776902.5478400001</v>
      </c>
      <c r="M33" s="41">
        <f t="shared" si="9"/>
        <v>1713459.8038400002</v>
      </c>
      <c r="N33" s="41">
        <f t="shared" si="9"/>
        <v>2252263.5538399997</v>
      </c>
      <c r="O33" s="41">
        <f t="shared" si="9"/>
        <v>2258213.5538399997</v>
      </c>
      <c r="P33" s="156">
        <f t="shared" si="0"/>
        <v>22212808.256693333</v>
      </c>
    </row>
    <row r="34" spans="2:16" ht="12.75">
      <c r="B34" s="154">
        <v>22</v>
      </c>
      <c r="C34" s="64" t="s">
        <v>264</v>
      </c>
      <c r="D34" s="42">
        <f aca="true" t="shared" si="10" ref="D34:O34">D32-D33</f>
        <v>223050</v>
      </c>
      <c r="E34" s="42">
        <f t="shared" si="10"/>
        <v>307660</v>
      </c>
      <c r="F34" s="42">
        <f t="shared" si="10"/>
        <v>317860</v>
      </c>
      <c r="G34" s="42">
        <f t="shared" si="10"/>
        <v>277754.6666666665</v>
      </c>
      <c r="H34" s="42">
        <f t="shared" si="10"/>
        <v>310463</v>
      </c>
      <c r="I34" s="42">
        <f t="shared" si="10"/>
        <v>306483</v>
      </c>
      <c r="J34" s="42">
        <f t="shared" si="10"/>
        <v>349829.8319999997</v>
      </c>
      <c r="K34" s="42">
        <f t="shared" si="10"/>
        <v>362454.8319999997</v>
      </c>
      <c r="L34" s="42">
        <f t="shared" si="10"/>
        <v>583776.94784</v>
      </c>
      <c r="M34" s="42">
        <f t="shared" si="10"/>
        <v>784719.6918400005</v>
      </c>
      <c r="N34" s="42">
        <f t="shared" si="10"/>
        <v>866040.9418400005</v>
      </c>
      <c r="O34" s="42">
        <f t="shared" si="10"/>
        <v>860090.9418400005</v>
      </c>
      <c r="P34" s="156">
        <f t="shared" si="0"/>
        <v>5550183.854026668</v>
      </c>
    </row>
    <row r="35" spans="2:17" ht="12.75">
      <c r="B35" s="155">
        <v>23</v>
      </c>
      <c r="C35" s="63" t="s">
        <v>72</v>
      </c>
      <c r="D35" s="41">
        <f aca="true" t="shared" si="11" ref="D35:P35">D42</f>
        <v>35688</v>
      </c>
      <c r="E35" s="41">
        <f t="shared" si="11"/>
        <v>49225.600000000006</v>
      </c>
      <c r="F35" s="41">
        <f t="shared" si="11"/>
        <v>50857.600000000006</v>
      </c>
      <c r="G35" s="41">
        <f t="shared" si="11"/>
        <v>44440.746666666644</v>
      </c>
      <c r="H35" s="41">
        <f t="shared" si="11"/>
        <v>49674.07999999999</v>
      </c>
      <c r="I35" s="41">
        <f t="shared" si="11"/>
        <v>49037.28</v>
      </c>
      <c r="J35" s="41">
        <f t="shared" si="11"/>
        <v>55972.77311999997</v>
      </c>
      <c r="K35" s="41">
        <f t="shared" si="11"/>
        <v>57992.77311999997</v>
      </c>
      <c r="L35" s="41">
        <f t="shared" si="11"/>
        <v>93404.31165439996</v>
      </c>
      <c r="M35" s="41">
        <f t="shared" si="11"/>
        <v>125555.15069440007</v>
      </c>
      <c r="N35" s="41">
        <f t="shared" si="11"/>
        <v>138566.5506944002</v>
      </c>
      <c r="O35" s="41">
        <f t="shared" si="11"/>
        <v>137614.55069439998</v>
      </c>
      <c r="P35" s="157">
        <f t="shared" si="11"/>
        <v>888029.4166442668</v>
      </c>
      <c r="Q35" s="20"/>
    </row>
    <row r="36" spans="2:16" ht="12.75">
      <c r="B36" s="154">
        <v>24</v>
      </c>
      <c r="C36" s="64" t="s">
        <v>265</v>
      </c>
      <c r="D36" s="42">
        <f aca="true" t="shared" si="12" ref="D36:P36">D34-D35</f>
        <v>187362</v>
      </c>
      <c r="E36" s="42">
        <f t="shared" si="12"/>
        <v>258434.4</v>
      </c>
      <c r="F36" s="42">
        <f t="shared" si="12"/>
        <v>267002.4</v>
      </c>
      <c r="G36" s="42">
        <f t="shared" si="12"/>
        <v>233313.91999999987</v>
      </c>
      <c r="H36" s="42">
        <f t="shared" si="12"/>
        <v>260788.92</v>
      </c>
      <c r="I36" s="42">
        <f t="shared" si="12"/>
        <v>257445.72</v>
      </c>
      <c r="J36" s="42">
        <f t="shared" si="12"/>
        <v>293857.05887999973</v>
      </c>
      <c r="K36" s="42">
        <f t="shared" si="12"/>
        <v>304462.05887999973</v>
      </c>
      <c r="L36" s="42">
        <f t="shared" si="12"/>
        <v>490372.6361856001</v>
      </c>
      <c r="M36" s="42">
        <f t="shared" si="12"/>
        <v>659164.5411456004</v>
      </c>
      <c r="N36" s="42">
        <f t="shared" si="12"/>
        <v>727474.3911456002</v>
      </c>
      <c r="O36" s="42">
        <f t="shared" si="12"/>
        <v>722476.3911456005</v>
      </c>
      <c r="P36" s="156">
        <f t="shared" si="12"/>
        <v>4662154.437382401</v>
      </c>
    </row>
    <row r="37" spans="2:17" ht="13.5" thickBot="1">
      <c r="B37" s="130"/>
      <c r="C37" s="158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20"/>
    </row>
    <row r="38" spans="2:17" ht="13.5" thickBot="1">
      <c r="B38" s="146"/>
      <c r="C38" s="160" t="s">
        <v>73</v>
      </c>
      <c r="D38" s="161">
        <f>D36*IPOTEZE!C98</f>
        <v>0</v>
      </c>
      <c r="E38" s="161">
        <f>E36*IPOTEZE!D98</f>
        <v>0</v>
      </c>
      <c r="F38" s="161">
        <f>F36*IPOTEZE!E98</f>
        <v>0</v>
      </c>
      <c r="G38" s="161">
        <f>G36*IPOTEZE!F98</f>
        <v>0</v>
      </c>
      <c r="H38" s="161">
        <f>H36*IPOTEZE!G98</f>
        <v>0</v>
      </c>
      <c r="I38" s="161">
        <f>I36*IPOTEZE!H98</f>
        <v>0</v>
      </c>
      <c r="J38" s="161">
        <f>J36*IPOTEZE!I98</f>
        <v>0</v>
      </c>
      <c r="K38" s="161">
        <f>K36*IPOTEZE!J98</f>
        <v>0</v>
      </c>
      <c r="L38" s="161">
        <f>L36*IPOTEZE!K98</f>
        <v>0</v>
      </c>
      <c r="M38" s="161">
        <f>M36*IPOTEZE!L98</f>
        <v>0</v>
      </c>
      <c r="N38" s="161">
        <f>N36*IPOTEZE!M98</f>
        <v>0</v>
      </c>
      <c r="O38" s="161">
        <f>IF(P36&lt;0,0,P36*IPOTEZE!N98)</f>
        <v>699323.1656073601</v>
      </c>
      <c r="P38" s="162">
        <f>SUM(D38:O38)</f>
        <v>699323.1656073601</v>
      </c>
      <c r="Q38" s="26"/>
    </row>
    <row r="39" spans="1:256" ht="12.75">
      <c r="A39" s="2"/>
      <c r="B39" s="130"/>
      <c r="C39" s="159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2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 hidden="1">
      <c r="A40" s="2"/>
      <c r="B40" s="130"/>
      <c r="C40" s="134" t="s">
        <v>74</v>
      </c>
      <c r="D40" s="19">
        <f>D34</f>
        <v>223050</v>
      </c>
      <c r="E40" s="19">
        <f aca="true" t="shared" si="13" ref="E40:O40">D40+E34</f>
        <v>530710</v>
      </c>
      <c r="F40" s="19">
        <f t="shared" si="13"/>
        <v>848570</v>
      </c>
      <c r="G40" s="19">
        <f t="shared" si="13"/>
        <v>1126324.6666666665</v>
      </c>
      <c r="H40" s="19">
        <f t="shared" si="13"/>
        <v>1436787.6666666665</v>
      </c>
      <c r="I40" s="19">
        <f t="shared" si="13"/>
        <v>1743270.6666666665</v>
      </c>
      <c r="J40" s="19">
        <f t="shared" si="13"/>
        <v>2093100.4986666662</v>
      </c>
      <c r="K40" s="19">
        <f t="shared" si="13"/>
        <v>2455555.330666666</v>
      </c>
      <c r="L40" s="19">
        <f t="shared" si="13"/>
        <v>3039332.278506666</v>
      </c>
      <c r="M40" s="19">
        <f t="shared" si="13"/>
        <v>3824051.9703466664</v>
      </c>
      <c r="N40" s="19">
        <f t="shared" si="13"/>
        <v>4690092.912186667</v>
      </c>
      <c r="O40" s="19">
        <f t="shared" si="13"/>
        <v>5550183.854026668</v>
      </c>
      <c r="P40" s="19">
        <f>O40</f>
        <v>5550183.854026668</v>
      </c>
      <c r="Q40" s="2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 hidden="1">
      <c r="A41" s="2"/>
      <c r="B41" s="130"/>
      <c r="C41" s="134" t="s">
        <v>75</v>
      </c>
      <c r="D41" s="19"/>
      <c r="E41" s="19">
        <f>D42</f>
        <v>35688</v>
      </c>
      <c r="F41" s="19">
        <f aca="true" t="shared" si="14" ref="F41:O41">E42+E41</f>
        <v>84913.6</v>
      </c>
      <c r="G41" s="19">
        <f t="shared" si="14"/>
        <v>135771.2</v>
      </c>
      <c r="H41" s="19">
        <f t="shared" si="14"/>
        <v>180211.94666666666</v>
      </c>
      <c r="I41" s="19">
        <f t="shared" si="14"/>
        <v>229886.02666666664</v>
      </c>
      <c r="J41" s="19">
        <f t="shared" si="14"/>
        <v>278923.30666666664</v>
      </c>
      <c r="K41" s="19">
        <f t="shared" si="14"/>
        <v>334896.0797866666</v>
      </c>
      <c r="L41" s="19">
        <f t="shared" si="14"/>
        <v>392888.8529066666</v>
      </c>
      <c r="M41" s="19">
        <f t="shared" si="14"/>
        <v>486293.16456106654</v>
      </c>
      <c r="N41" s="19">
        <f t="shared" si="14"/>
        <v>611848.3152554666</v>
      </c>
      <c r="O41" s="19">
        <f t="shared" si="14"/>
        <v>750414.8659498668</v>
      </c>
      <c r="P41" s="19"/>
      <c r="Q41" s="2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17" ht="12.75" hidden="1">
      <c r="B42" s="130"/>
      <c r="C42" s="24" t="s">
        <v>76</v>
      </c>
      <c r="D42" s="18">
        <f>IF(D40&lt;0,0,IPOTEZE!C97*D40)</f>
        <v>35688</v>
      </c>
      <c r="E42" s="18">
        <f>IF(E34&lt;0,0,IF(E40&lt;0,0,IF(E40*IPOTEZE!D97&gt;E41,E40*IPOTEZE!D97-E41,0)))</f>
        <v>49225.600000000006</v>
      </c>
      <c r="F42" s="18">
        <f>IF(F34&lt;0,0,IF(F40&lt;0,0,IF(IPOTEZE!E97*F40&gt;F41,F40*IPOTEZE!E97-F41,0)))</f>
        <v>50857.600000000006</v>
      </c>
      <c r="G42" s="18">
        <f>IF(G34&lt;0,0,IF(G40&lt;0,0,IF(IPOTEZE!F97*G40&gt;G41,G40*IPOTEZE!F97-G41,0)))</f>
        <v>44440.746666666644</v>
      </c>
      <c r="H42" s="18">
        <f>IF(H34&lt;0,0,IF(H40&lt;0,0,IF(IPOTEZE!G97*H40&gt;H41,H40*IPOTEZE!G97-H41,0)))</f>
        <v>49674.07999999999</v>
      </c>
      <c r="I42" s="18">
        <f>IF(I34&lt;0,0,IF(I40&lt;0,0,IF(IPOTEZE!H97*I40&gt;I41,I40*IPOTEZE!H97-I41,0)))</f>
        <v>49037.28</v>
      </c>
      <c r="J42" s="18">
        <f>IF(J34&lt;0,0,IF(J40&lt;0,0,IF(IPOTEZE!I97*J40&gt;J41,J40*IPOTEZE!I97-J41,0)))</f>
        <v>55972.77311999997</v>
      </c>
      <c r="K42" s="18">
        <f>IF(K34&lt;0,0,IF(K40&lt;0,0,IF(IPOTEZE!J97*K40&gt;K41,K40*IPOTEZE!J97-K41,0)))</f>
        <v>57992.77311999997</v>
      </c>
      <c r="L42" s="18">
        <f>IF(L34&lt;0,0,IF(L40&lt;0,0,IF(IPOTEZE!K97*L40&gt;L41,L40*IPOTEZE!K97-L41,0)))</f>
        <v>93404.31165439996</v>
      </c>
      <c r="M42" s="18">
        <f>IF(M34&lt;0,0,IF(M40&lt;0,0,IF(IPOTEZE!L97*M40&gt;M41,M40*IPOTEZE!L97-M41,0)))</f>
        <v>125555.15069440007</v>
      </c>
      <c r="N42" s="18">
        <f>IF(N34&lt;0,0,IF(N40&lt;0,0,IF(IPOTEZE!M97*N40&gt;N41,N40*IPOTEZE!M97-N41,0)))</f>
        <v>138566.5506944002</v>
      </c>
      <c r="O42" s="18">
        <f>IF(O34&lt;0,0,IF(O40&lt;0,0,IF(IPOTEZE!N97*O40&gt;O41,O40*IPOTEZE!N97-O41,0)))</f>
        <v>137614.55069439998</v>
      </c>
      <c r="P42" s="18">
        <f>IF(P40&lt;0,0,IPOTEZE!N97*P40)</f>
        <v>888029.4166442668</v>
      </c>
      <c r="Q42" s="20"/>
    </row>
    <row r="43" spans="2:17" ht="12.75">
      <c r="B43" s="130"/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20"/>
    </row>
    <row r="44" ht="12.75"/>
    <row r="46" spans="3:7" ht="23.25">
      <c r="C46" s="163" t="s">
        <v>261</v>
      </c>
      <c r="D46" s="55"/>
      <c r="E46" s="55"/>
      <c r="F46" s="55"/>
      <c r="G46" s="55"/>
    </row>
    <row r="49" spans="2:16" ht="12.75">
      <c r="B49" s="130"/>
      <c r="C49" s="2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130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256" ht="12.75">
      <c r="A51" s="20"/>
      <c r="B51" s="147"/>
      <c r="C51" s="164" t="s">
        <v>82</v>
      </c>
      <c r="D51" s="66" t="s">
        <v>7</v>
      </c>
      <c r="E51" s="66" t="s">
        <v>83</v>
      </c>
      <c r="F51" s="66" t="s">
        <v>84</v>
      </c>
      <c r="G51" s="66" t="s">
        <v>85</v>
      </c>
      <c r="H51" s="66" t="s">
        <v>86</v>
      </c>
      <c r="I51" s="15"/>
      <c r="J51" s="2"/>
      <c r="K51" s="2"/>
      <c r="L51" s="2"/>
      <c r="M51" s="2"/>
      <c r="N51" s="2"/>
      <c r="O51" s="2"/>
      <c r="P51" s="2"/>
      <c r="Q51" s="2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2:16" ht="12.75">
      <c r="B52" s="131"/>
      <c r="C52" s="23"/>
      <c r="D52" s="135"/>
      <c r="E52" s="29"/>
      <c r="F52" s="29"/>
      <c r="G52" s="29"/>
      <c r="H52" s="29"/>
      <c r="I52" s="2"/>
      <c r="J52" s="2"/>
      <c r="K52" s="2"/>
      <c r="L52" s="2"/>
      <c r="M52" s="2"/>
      <c r="N52" s="2"/>
      <c r="O52" s="2"/>
      <c r="P52" s="2"/>
    </row>
    <row r="53" spans="2:16" ht="12.75">
      <c r="B53" s="153" t="s">
        <v>50</v>
      </c>
      <c r="C53" s="63" t="s">
        <v>30</v>
      </c>
      <c r="D53" s="165">
        <f>P13</f>
        <v>17402750</v>
      </c>
      <c r="E53" s="166">
        <f>D53*(1+IPOTEZE!C109/100)</f>
        <v>18272887.5</v>
      </c>
      <c r="F53" s="166">
        <f>E53*(1+IPOTEZE!D109/100)</f>
        <v>19186531.875</v>
      </c>
      <c r="G53" s="166">
        <f>F53*(1+IPOTEZE!E109/100)</f>
        <v>20913319.743750002</v>
      </c>
      <c r="H53" s="166">
        <f>G53*(1+IPOTEZE!F109/100)</f>
        <v>21958985.730937503</v>
      </c>
      <c r="I53" s="2"/>
      <c r="J53" s="2"/>
      <c r="K53" s="2"/>
      <c r="L53" s="2"/>
      <c r="M53" s="2"/>
      <c r="N53" s="2"/>
      <c r="O53" s="2"/>
      <c r="P53" s="2"/>
    </row>
    <row r="54" spans="2:16" ht="25.5">
      <c r="B54" s="153" t="s">
        <v>52</v>
      </c>
      <c r="C54" s="63" t="s">
        <v>53</v>
      </c>
      <c r="D54" s="166">
        <f>P14</f>
        <v>8973742.110720003</v>
      </c>
      <c r="E54" s="166">
        <f>D54*(1+IPOTEZE!C110/100)</f>
        <v>9153216.952934403</v>
      </c>
      <c r="F54" s="166">
        <f>E54*(1+IPOTEZE!D110/100)</f>
        <v>9336281.29199309</v>
      </c>
      <c r="G54" s="166">
        <f>F54*(1+IPOTEZE!E110/100)</f>
        <v>9523006.917832952</v>
      </c>
      <c r="H54" s="166">
        <f>G54*(1+IPOTEZE!F110/100)</f>
        <v>9713467.056189612</v>
      </c>
      <c r="I54" s="2"/>
      <c r="J54" s="2"/>
      <c r="K54" s="2"/>
      <c r="L54" s="2"/>
      <c r="M54" s="2"/>
      <c r="N54" s="2"/>
      <c r="O54" s="2"/>
      <c r="P54" s="2"/>
    </row>
    <row r="55" spans="1:256" ht="12.75">
      <c r="A55" s="20"/>
      <c r="B55" s="154" t="s">
        <v>54</v>
      </c>
      <c r="C55" s="64" t="s">
        <v>55</v>
      </c>
      <c r="D55" s="167">
        <f>D54+D53</f>
        <v>26376492.11072</v>
      </c>
      <c r="E55" s="167">
        <f>E54+E53</f>
        <v>27426104.452934403</v>
      </c>
      <c r="F55" s="167">
        <f>F54+F53</f>
        <v>28522813.16699309</v>
      </c>
      <c r="G55" s="167">
        <f>G54+G53</f>
        <v>30436326.661582954</v>
      </c>
      <c r="H55" s="167">
        <f>H54+H53</f>
        <v>31672452.787127115</v>
      </c>
      <c r="I55" s="20"/>
      <c r="J55" s="2"/>
      <c r="K55" s="2"/>
      <c r="L55" s="2"/>
      <c r="M55" s="2"/>
      <c r="N55" s="2"/>
      <c r="O55" s="2"/>
      <c r="P55" s="2"/>
      <c r="Q55" s="2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2:16" ht="12.75">
      <c r="B56" s="153">
        <v>4</v>
      </c>
      <c r="C56" s="63" t="s">
        <v>23</v>
      </c>
      <c r="D56" s="166">
        <f>P16</f>
        <v>1365000</v>
      </c>
      <c r="E56" s="166">
        <f>D56*(1+IPOTEZE!C111/100)</f>
        <v>1378650</v>
      </c>
      <c r="F56" s="166">
        <f>E56*(1+IPOTEZE!D111/100)</f>
        <v>1392436.5</v>
      </c>
      <c r="G56" s="166">
        <f>F56*(1+IPOTEZE!E111/100)</f>
        <v>1406360.865</v>
      </c>
      <c r="H56" s="166">
        <f>G56*(1+IPOTEZE!F111/100)</f>
        <v>1420424.47365</v>
      </c>
      <c r="I56" s="2"/>
      <c r="J56" s="2"/>
      <c r="K56" s="2"/>
      <c r="L56" s="2"/>
      <c r="M56" s="2"/>
      <c r="N56" s="2"/>
      <c r="O56" s="2"/>
      <c r="P56" s="2"/>
    </row>
    <row r="57" spans="1:256" ht="12.75">
      <c r="A57" s="20"/>
      <c r="B57" s="154">
        <v>5</v>
      </c>
      <c r="C57" s="64" t="s">
        <v>57</v>
      </c>
      <c r="D57" s="167">
        <f>D55+D56</f>
        <v>27741492.11072</v>
      </c>
      <c r="E57" s="167">
        <f>E55+E56</f>
        <v>28804754.452934403</v>
      </c>
      <c r="F57" s="167">
        <f>F55+F56</f>
        <v>29915249.66699309</v>
      </c>
      <c r="G57" s="167">
        <f>G55+G56</f>
        <v>31842687.526582953</v>
      </c>
      <c r="H57" s="167">
        <f>H55+H56</f>
        <v>33092877.260777116</v>
      </c>
      <c r="I57" s="20"/>
      <c r="J57" s="2"/>
      <c r="K57" s="2"/>
      <c r="L57" s="2"/>
      <c r="M57" s="2"/>
      <c r="N57" s="2"/>
      <c r="O57" s="2"/>
      <c r="P57" s="2"/>
      <c r="Q57" s="2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2:16" ht="12.75">
      <c r="B58" s="155">
        <v>6</v>
      </c>
      <c r="C58" s="63" t="s">
        <v>58</v>
      </c>
      <c r="D58" s="166">
        <f>Costuri!D57</f>
        <v>9883458.333333334</v>
      </c>
      <c r="E58" s="166">
        <f>Costuri!E57</f>
        <v>11420554.6875</v>
      </c>
      <c r="F58" s="166">
        <f>Costuri!F57</f>
        <v>11991582.421875</v>
      </c>
      <c r="G58" s="166">
        <f>Costuri!G57</f>
        <v>13070824.83984375</v>
      </c>
      <c r="H58" s="166">
        <f>Costuri!H57</f>
        <v>13724366.081835939</v>
      </c>
      <c r="I58" s="2"/>
      <c r="J58" s="2"/>
      <c r="K58" s="2"/>
      <c r="L58" s="2"/>
      <c r="M58" s="2"/>
      <c r="N58" s="2"/>
      <c r="O58" s="2"/>
      <c r="P58" s="2"/>
    </row>
    <row r="59" spans="2:16" ht="25.5">
      <c r="B59" s="153">
        <v>7</v>
      </c>
      <c r="C59" s="63" t="s">
        <v>59</v>
      </c>
      <c r="D59" s="166">
        <f>Costuri!D58+Costuri!D59</f>
        <v>3320284.580966401</v>
      </c>
      <c r="E59" s="166">
        <f>Costuri!E58+Costuri!E59</f>
        <v>3386690.272585729</v>
      </c>
      <c r="F59" s="166">
        <f>Costuri!F58+Costuri!F59</f>
        <v>3454424.0780374436</v>
      </c>
      <c r="G59" s="166">
        <f>Costuri!G58+Costuri!G59</f>
        <v>3523512.5595981926</v>
      </c>
      <c r="H59" s="166">
        <f>Costuri!H58+Costuri!H59</f>
        <v>3593982.810790156</v>
      </c>
      <c r="I59" s="2"/>
      <c r="J59" s="2"/>
      <c r="K59" s="2"/>
      <c r="L59" s="2"/>
      <c r="M59" s="2"/>
      <c r="N59" s="2"/>
      <c r="O59" s="2"/>
      <c r="P59" s="2"/>
    </row>
    <row r="60" spans="2:16" ht="12.75">
      <c r="B60" s="153">
        <v>8</v>
      </c>
      <c r="C60" s="63" t="s">
        <v>60</v>
      </c>
      <c r="D60" s="166">
        <f>Costuri!D62+Costuri!D69+Costuri!D70</f>
        <v>4209518.974393601</v>
      </c>
      <c r="E60" s="166">
        <f>Costuri!E62+Costuri!E69+Costuri!E70</f>
        <v>4345968.578881472</v>
      </c>
      <c r="F60" s="166">
        <f>Costuri!F62+Costuri!F69+Costuri!F70</f>
        <v>4488540.711709102</v>
      </c>
      <c r="G60" s="166">
        <f>Costuri!G62+Costuri!G69+Costuri!G70</f>
        <v>4737297.4660057835</v>
      </c>
      <c r="H60" s="166">
        <f>Costuri!H62+Costuri!H69+Costuri!H70</f>
        <v>4897993.862326525</v>
      </c>
      <c r="I60" s="2"/>
      <c r="J60" s="2"/>
      <c r="K60" s="2"/>
      <c r="L60" s="2"/>
      <c r="M60" s="2"/>
      <c r="N60" s="2"/>
      <c r="O60" s="2"/>
      <c r="P60" s="2"/>
    </row>
    <row r="61" spans="2:16" ht="12.75">
      <c r="B61" s="153">
        <v>9</v>
      </c>
      <c r="C61" s="63" t="s">
        <v>61</v>
      </c>
      <c r="D61" s="166">
        <f>Costuri!D71</f>
        <v>3500</v>
      </c>
      <c r="E61" s="166">
        <f>Costuri!E71</f>
        <v>3500</v>
      </c>
      <c r="F61" s="166">
        <f>Costuri!F71</f>
        <v>3500</v>
      </c>
      <c r="G61" s="166">
        <f>Costuri!G71</f>
        <v>3500</v>
      </c>
      <c r="H61" s="166">
        <f>Costuri!H71</f>
        <v>3500</v>
      </c>
      <c r="I61" s="2"/>
      <c r="J61" s="2"/>
      <c r="K61" s="2"/>
      <c r="L61" s="2"/>
      <c r="M61" s="2"/>
      <c r="N61" s="2"/>
      <c r="O61" s="2"/>
      <c r="P61" s="2"/>
    </row>
    <row r="62" spans="2:16" ht="25.5">
      <c r="B62" s="153">
        <v>10</v>
      </c>
      <c r="C62" s="63" t="s">
        <v>62</v>
      </c>
      <c r="D62" s="166">
        <f>Costuri!D60+Costuri!D68/1.38</f>
        <v>2343783.5999999996</v>
      </c>
      <c r="E62" s="166">
        <f>Costuri!E60+Costuri!E68/1.38</f>
        <v>2343783.5999999996</v>
      </c>
      <c r="F62" s="166">
        <f>Costuri!F60+Costuri!F68/1.38</f>
        <v>2343783.5999999996</v>
      </c>
      <c r="G62" s="166">
        <f>Costuri!G60+Costuri!G68/1.38</f>
        <v>2343783.5999999996</v>
      </c>
      <c r="H62" s="166">
        <f>Costuri!H60+Costuri!H68/1.38</f>
        <v>2343783.5999999996</v>
      </c>
      <c r="I62" s="2"/>
      <c r="J62" s="2"/>
      <c r="K62" s="2"/>
      <c r="L62" s="2"/>
      <c r="M62" s="2"/>
      <c r="N62" s="2"/>
      <c r="O62" s="2"/>
      <c r="P62" s="2"/>
    </row>
    <row r="63" spans="2:16" ht="25.5">
      <c r="B63" s="153">
        <v>11</v>
      </c>
      <c r="C63" s="63" t="s">
        <v>63</v>
      </c>
      <c r="D63" s="166">
        <f>Costuri!D61+(Costuri!D68/1.38)*0.38</f>
        <v>890637.768</v>
      </c>
      <c r="E63" s="166">
        <f>Costuri!E61+(Costuri!E68/1.38)*0.38</f>
        <v>890637.7679999999</v>
      </c>
      <c r="F63" s="166">
        <f>Costuri!F61+(Costuri!F68/1.38)*0.38</f>
        <v>890637.7679999999</v>
      </c>
      <c r="G63" s="166">
        <f>Costuri!G61+(Costuri!G68/1.38)*0.38</f>
        <v>890637.7679999999</v>
      </c>
      <c r="H63" s="166">
        <f>Costuri!H61+(Costuri!H68/1.38)*0.38</f>
        <v>890637.7679999999</v>
      </c>
      <c r="I63" s="2"/>
      <c r="J63" s="2"/>
      <c r="K63" s="2"/>
      <c r="L63" s="2"/>
      <c r="M63" s="2"/>
      <c r="N63" s="2"/>
      <c r="O63" s="2"/>
      <c r="P63" s="2"/>
    </row>
    <row r="64" spans="2:16" ht="12.75">
      <c r="B64" s="153">
        <v>12</v>
      </c>
      <c r="C64" s="63" t="s">
        <v>64</v>
      </c>
      <c r="D64" s="166">
        <f>D62+D63</f>
        <v>3234421.368</v>
      </c>
      <c r="E64" s="166">
        <f>E62+E63</f>
        <v>3234421.368</v>
      </c>
      <c r="F64" s="166">
        <f>F62+F63</f>
        <v>3234421.368</v>
      </c>
      <c r="G64" s="166">
        <f>G62+G63</f>
        <v>3234421.368</v>
      </c>
      <c r="H64" s="166">
        <f>H62+H63</f>
        <v>3234421.368</v>
      </c>
      <c r="I64" s="2"/>
      <c r="J64" s="2"/>
      <c r="K64" s="2"/>
      <c r="L64" s="2"/>
      <c r="M64" s="2"/>
      <c r="N64" s="2"/>
      <c r="O64" s="2"/>
      <c r="P64" s="2"/>
    </row>
    <row r="65" spans="2:16" ht="25.5">
      <c r="B65" s="153">
        <v>13</v>
      </c>
      <c r="C65" s="63" t="s">
        <v>65</v>
      </c>
      <c r="D65" s="166">
        <f>Costuri!D67</f>
        <v>433500</v>
      </c>
      <c r="E65" s="166">
        <f>Costuri!E67</f>
        <v>435500</v>
      </c>
      <c r="F65" s="166">
        <f>Costuri!F67</f>
        <v>435500</v>
      </c>
      <c r="G65" s="166">
        <f>Costuri!G67</f>
        <v>460500</v>
      </c>
      <c r="H65" s="166">
        <f>Costuri!H67</f>
        <v>492500</v>
      </c>
      <c r="I65" s="14"/>
      <c r="J65" s="2"/>
      <c r="K65" s="2"/>
      <c r="L65" s="2"/>
      <c r="M65" s="2"/>
      <c r="N65" s="2"/>
      <c r="O65" s="2"/>
      <c r="P65" s="2"/>
    </row>
    <row r="66" spans="1:256" ht="25.5">
      <c r="A66" s="20"/>
      <c r="B66" s="154">
        <v>14</v>
      </c>
      <c r="C66" s="64" t="s">
        <v>66</v>
      </c>
      <c r="D66" s="167">
        <f>D58+D59+D60+D61+D64+D65</f>
        <v>21084683.256693333</v>
      </c>
      <c r="E66" s="167">
        <f>E58+E59+E60+E61+E64+E65</f>
        <v>22826634.9069672</v>
      </c>
      <c r="F66" s="167">
        <f>F58+F59+F60+F61+F64+F65</f>
        <v>23607968.579621546</v>
      </c>
      <c r="G66" s="167">
        <f>G58+G59+G60+G61+G64+G65</f>
        <v>25030056.233447727</v>
      </c>
      <c r="H66" s="167">
        <f>H58+H59+H60+H61+H64+H65</f>
        <v>25946764.12295262</v>
      </c>
      <c r="I66" s="20"/>
      <c r="J66" s="2"/>
      <c r="K66" s="2"/>
      <c r="L66" s="2"/>
      <c r="M66" s="2"/>
      <c r="N66" s="2"/>
      <c r="O66" s="2"/>
      <c r="P66" s="2"/>
      <c r="Q66" s="2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12.75">
      <c r="A67" s="20"/>
      <c r="B67" s="154">
        <v>15</v>
      </c>
      <c r="C67" s="64" t="s">
        <v>67</v>
      </c>
      <c r="D67" s="167">
        <f>D57-D66</f>
        <v>6656808.854026668</v>
      </c>
      <c r="E67" s="167">
        <f>E57-E66</f>
        <v>5978119.545967203</v>
      </c>
      <c r="F67" s="167">
        <f>F57-F66</f>
        <v>6307281.087371543</v>
      </c>
      <c r="G67" s="167">
        <f>G57-G66</f>
        <v>6812631.293135226</v>
      </c>
      <c r="H67" s="167">
        <f>H57-H66</f>
        <v>7146113.137824494</v>
      </c>
      <c r="I67" s="20"/>
      <c r="J67" s="2"/>
      <c r="K67" s="2"/>
      <c r="L67" s="2"/>
      <c r="M67" s="2"/>
      <c r="N67" s="2"/>
      <c r="O67" s="2"/>
      <c r="P67" s="2"/>
      <c r="Q67" s="2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2:16" ht="12.75">
      <c r="B68" s="155">
        <v>16</v>
      </c>
      <c r="C68" s="63" t="s">
        <v>68</v>
      </c>
      <c r="D68" s="166">
        <f>P28</f>
        <v>21500</v>
      </c>
      <c r="E68" s="166">
        <f>IPOTEZE!C120</f>
        <v>10000</v>
      </c>
      <c r="F68" s="166">
        <f>IPOTEZE!D120</f>
        <v>30000</v>
      </c>
      <c r="G68" s="166">
        <f>IPOTEZE!E120</f>
        <v>50000</v>
      </c>
      <c r="H68" s="166">
        <f>IPOTEZE!F120</f>
        <v>0</v>
      </c>
      <c r="I68" s="2"/>
      <c r="J68" s="2"/>
      <c r="K68" s="2"/>
      <c r="L68" s="2"/>
      <c r="M68" s="2"/>
      <c r="N68" s="2"/>
      <c r="O68" s="2"/>
      <c r="P68" s="2"/>
    </row>
    <row r="69" spans="2:16" ht="12.75">
      <c r="B69" s="155">
        <v>17</v>
      </c>
      <c r="C69" s="63" t="s">
        <v>69</v>
      </c>
      <c r="D69" s="166">
        <f>P29</f>
        <v>1128125</v>
      </c>
      <c r="E69" s="166">
        <f>Planramb!C93+IPOTEZE!C121</f>
        <v>695250</v>
      </c>
      <c r="F69" s="166">
        <f>Planramb!D93+IPOTEZE!D121</f>
        <v>268750</v>
      </c>
      <c r="G69" s="166">
        <f>Planramb!E93+IPOTEZE!E121</f>
        <v>12000</v>
      </c>
      <c r="H69" s="166">
        <f>Planramb!F93+IPOTEZE!F121</f>
        <v>0</v>
      </c>
      <c r="I69" s="2"/>
      <c r="J69" s="2"/>
      <c r="K69" s="2"/>
      <c r="L69" s="2"/>
      <c r="M69" s="2"/>
      <c r="N69" s="2"/>
      <c r="O69" s="2"/>
      <c r="P69" s="2"/>
    </row>
    <row r="70" spans="1:256" ht="12.75">
      <c r="A70" s="20"/>
      <c r="B70" s="154">
        <v>18</v>
      </c>
      <c r="C70" s="64" t="s">
        <v>70</v>
      </c>
      <c r="D70" s="167">
        <f>D68-D69</f>
        <v>-1106625</v>
      </c>
      <c r="E70" s="167">
        <f>E68-E69</f>
        <v>-685250</v>
      </c>
      <c r="F70" s="167">
        <f>F68-F69</f>
        <v>-238750</v>
      </c>
      <c r="G70" s="167">
        <f>G68-G69</f>
        <v>38000</v>
      </c>
      <c r="H70" s="167">
        <f>H68-H69</f>
        <v>0</v>
      </c>
      <c r="I70" s="20"/>
      <c r="J70" s="4"/>
      <c r="K70" s="2"/>
      <c r="L70" s="2"/>
      <c r="M70" s="2"/>
      <c r="N70" s="2"/>
      <c r="O70" s="2"/>
      <c r="P70" s="2"/>
      <c r="Q70" s="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25.5">
      <c r="A71" s="20"/>
      <c r="B71" s="154">
        <v>19</v>
      </c>
      <c r="C71" s="64" t="s">
        <v>71</v>
      </c>
      <c r="D71" s="167">
        <f>D70+D67</f>
        <v>5550183.854026668</v>
      </c>
      <c r="E71" s="167">
        <f>E70+E67</f>
        <v>5292869.545967203</v>
      </c>
      <c r="F71" s="167">
        <f>F70+F67</f>
        <v>6068531.087371543</v>
      </c>
      <c r="G71" s="167">
        <f>G70+G67</f>
        <v>6850631.293135226</v>
      </c>
      <c r="H71" s="167">
        <f>H70+H67</f>
        <v>7146113.137824494</v>
      </c>
      <c r="I71" s="26"/>
      <c r="J71" s="126"/>
      <c r="K71" s="4"/>
      <c r="L71" s="2"/>
      <c r="M71" s="2"/>
      <c r="N71" s="2"/>
      <c r="O71" s="2"/>
      <c r="P71" s="2"/>
      <c r="Q71" s="2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2:16" ht="12.75">
      <c r="B72" s="155">
        <v>20</v>
      </c>
      <c r="C72" s="63" t="s">
        <v>262</v>
      </c>
      <c r="D72" s="166">
        <f>D57+D68</f>
        <v>27762992.11072</v>
      </c>
      <c r="E72" s="166">
        <f>E57+E68</f>
        <v>28814754.452934403</v>
      </c>
      <c r="F72" s="166">
        <f>F57+F68</f>
        <v>29945249.66699309</v>
      </c>
      <c r="G72" s="166">
        <f>G57+G68</f>
        <v>31892687.526582953</v>
      </c>
      <c r="H72" s="166">
        <f>H57+H68</f>
        <v>33092877.260777116</v>
      </c>
      <c r="I72" s="4"/>
      <c r="J72" s="126"/>
      <c r="K72" s="4"/>
      <c r="L72" s="2"/>
      <c r="M72" s="2"/>
      <c r="N72" s="2"/>
      <c r="O72" s="2"/>
      <c r="P72" s="2"/>
    </row>
    <row r="73" spans="2:16" ht="12.75">
      <c r="B73" s="155">
        <v>21</v>
      </c>
      <c r="C73" s="63" t="s">
        <v>263</v>
      </c>
      <c r="D73" s="166">
        <f>D66+D69</f>
        <v>22212808.256693333</v>
      </c>
      <c r="E73" s="166">
        <f>E66+E69</f>
        <v>23521884.9069672</v>
      </c>
      <c r="F73" s="166">
        <f>F66+F69</f>
        <v>23876718.579621546</v>
      </c>
      <c r="G73" s="166">
        <f>G66+G69</f>
        <v>25042056.233447727</v>
      </c>
      <c r="H73" s="166">
        <f>H66+H69</f>
        <v>25946764.12295262</v>
      </c>
      <c r="I73" s="126"/>
      <c r="J73" s="126"/>
      <c r="K73" s="4"/>
      <c r="L73" s="2"/>
      <c r="M73" s="2"/>
      <c r="N73" s="2"/>
      <c r="O73" s="2"/>
      <c r="P73" s="2"/>
    </row>
    <row r="74" spans="1:256" ht="12.75">
      <c r="A74" s="20"/>
      <c r="B74" s="154">
        <v>22</v>
      </c>
      <c r="C74" s="64" t="s">
        <v>264</v>
      </c>
      <c r="D74" s="167">
        <f>D72-D73</f>
        <v>5550183.854026668</v>
      </c>
      <c r="E74" s="167">
        <f>E72-E73</f>
        <v>5292869.545967203</v>
      </c>
      <c r="F74" s="167">
        <f>F72-F73</f>
        <v>6068531.087371543</v>
      </c>
      <c r="G74" s="167">
        <f>G72-G73</f>
        <v>6850631.293135226</v>
      </c>
      <c r="H74" s="167">
        <f>H72-H73</f>
        <v>7146113.137824494</v>
      </c>
      <c r="I74" s="136"/>
      <c r="J74" s="136"/>
      <c r="K74" s="137"/>
      <c r="L74" s="133"/>
      <c r="M74" s="133"/>
      <c r="N74" s="2"/>
      <c r="O74" s="2"/>
      <c r="P74" s="2"/>
      <c r="Q74" s="2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2:16" ht="12.75">
      <c r="B75" s="155">
        <v>23</v>
      </c>
      <c r="C75" s="63" t="s">
        <v>72</v>
      </c>
      <c r="D75" s="166">
        <f>D85</f>
        <v>888029.4166442668</v>
      </c>
      <c r="E75" s="166">
        <f>E85</f>
        <v>846859.1273547525</v>
      </c>
      <c r="F75" s="166">
        <f>F85</f>
        <v>970964.9739794468</v>
      </c>
      <c r="G75" s="166">
        <f>G85</f>
        <v>1096101.0069016363</v>
      </c>
      <c r="H75" s="166">
        <f>H85</f>
        <v>1143378.1020519189</v>
      </c>
      <c r="I75" s="126"/>
      <c r="J75" s="138"/>
      <c r="K75" s="4"/>
      <c r="L75" s="2"/>
      <c r="M75" s="2"/>
      <c r="N75" s="2"/>
      <c r="O75" s="2"/>
      <c r="P75" s="2"/>
    </row>
    <row r="76" spans="1:256" ht="12.75">
      <c r="A76" s="20"/>
      <c r="B76" s="154">
        <v>24</v>
      </c>
      <c r="C76" s="64" t="s">
        <v>265</v>
      </c>
      <c r="D76" s="167">
        <f>D74-D75</f>
        <v>4662154.437382401</v>
      </c>
      <c r="E76" s="167">
        <f>E74-E75</f>
        <v>4446010.41861245</v>
      </c>
      <c r="F76" s="167">
        <f>F74-F75</f>
        <v>5097566.113392096</v>
      </c>
      <c r="G76" s="167">
        <f>G74-G75</f>
        <v>5754530.286233589</v>
      </c>
      <c r="H76" s="167">
        <f>H74-H75</f>
        <v>6002735.035772575</v>
      </c>
      <c r="I76" s="139"/>
      <c r="J76" s="140"/>
      <c r="K76" s="4"/>
      <c r="L76" s="2"/>
      <c r="M76" s="2"/>
      <c r="N76" s="2"/>
      <c r="O76" s="2"/>
      <c r="P76" s="2"/>
      <c r="Q76" s="2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2:16" ht="12.75">
      <c r="B77" s="130"/>
      <c r="C77" s="27"/>
      <c r="D77" s="2"/>
      <c r="E77" s="2"/>
      <c r="F77" s="2"/>
      <c r="G77" s="2"/>
      <c r="H77" s="2"/>
      <c r="I77" s="126"/>
      <c r="J77" s="126"/>
      <c r="K77" s="4"/>
      <c r="L77" s="2"/>
      <c r="M77" s="2"/>
      <c r="N77" s="2"/>
      <c r="O77" s="2"/>
      <c r="P77" s="2"/>
    </row>
    <row r="78" spans="2:16" ht="12.75" hidden="1">
      <c r="B78" s="130"/>
      <c r="C78" s="141" t="s">
        <v>87</v>
      </c>
      <c r="D78" s="477">
        <f>'Cont de Rezultat'!O38</f>
        <v>699323.1656073601</v>
      </c>
      <c r="E78" s="477">
        <f>IF(E83&lt;0,0,IF(D76&lt;0,E83*IPOTEZE!C123,E76*IPOTEZE!C123))</f>
        <v>1111502.6046531126</v>
      </c>
      <c r="F78" s="477">
        <f>IF(F83&lt;0,0,IF(E76&lt;0,F83*IPOTEZE!D123,F76*IPOTEZE!D123))</f>
        <v>3823174.585044072</v>
      </c>
      <c r="G78" s="477">
        <f>IF(G83&lt;0,0,IF(F76&lt;0,G83*IPOTEZE!E123,G76*IPOTEZE!E123))</f>
        <v>0</v>
      </c>
      <c r="H78" s="477">
        <f>IF(H83&lt;0,0,IF(G76&lt;0,H83*IPOTEZE!F123,H76*IPOTEZE!F123))</f>
        <v>6002735.035772575</v>
      </c>
      <c r="I78" s="1"/>
      <c r="J78" s="126"/>
      <c r="K78" s="2"/>
      <c r="L78" s="2"/>
      <c r="M78" s="2"/>
      <c r="N78" s="2"/>
      <c r="O78" s="2"/>
      <c r="P78" s="2"/>
    </row>
    <row r="79" spans="2:16" ht="12.75" hidden="1">
      <c r="B79" s="130"/>
      <c r="C79" s="141" t="s">
        <v>88</v>
      </c>
      <c r="D79" s="477">
        <f>D76-D78</f>
        <v>3962831.271775041</v>
      </c>
      <c r="E79" s="477">
        <f>IF(E83&lt;0,0,IF(D79&lt;0,E83-E78,E76-E78))</f>
        <v>3334507.813959338</v>
      </c>
      <c r="F79" s="477">
        <f>IF(F83&lt;0,0,IF(E79&lt;0,F83-F78,F76-F78))</f>
        <v>1274391.528348024</v>
      </c>
      <c r="G79" s="477">
        <f>IF(G83&lt;0,0,IF(F79&lt;0,G83-G78,G76-G78))</f>
        <v>5754530.286233589</v>
      </c>
      <c r="H79" s="477">
        <f>IF(H83&lt;0,0,IF(G79&lt;0,H83-H78,H76-H78))</f>
        <v>0</v>
      </c>
      <c r="I79" s="142"/>
      <c r="J79" s="1"/>
      <c r="K79" s="2"/>
      <c r="L79" s="2"/>
      <c r="M79" s="2"/>
      <c r="N79" s="2"/>
      <c r="O79" s="2"/>
      <c r="P79" s="2"/>
    </row>
    <row r="80" spans="2:16" ht="14.25" customHeight="1" hidden="1">
      <c r="B80" s="130"/>
      <c r="C80" s="27"/>
      <c r="D80" s="2"/>
      <c r="E80" s="2"/>
      <c r="F80" s="2"/>
      <c r="G80" s="2"/>
      <c r="H80" s="2"/>
      <c r="I80" s="1"/>
      <c r="J80" s="1"/>
      <c r="K80" s="2"/>
      <c r="L80" s="2"/>
      <c r="M80" s="2"/>
      <c r="N80" s="2"/>
      <c r="O80" s="2"/>
      <c r="P80" s="2"/>
    </row>
    <row r="81" spans="2:16" ht="12.75" hidden="1">
      <c r="B81" s="130"/>
      <c r="C81" s="27"/>
      <c r="D81" s="2">
        <f>IF(D74&lt;0,D74,0)</f>
        <v>0</v>
      </c>
      <c r="E81" s="2">
        <f>IF(E74&lt;0,E74+D81,D81)</f>
        <v>0</v>
      </c>
      <c r="F81" s="2">
        <f>IF(F74&lt;0,E81+F74,E81)</f>
        <v>0</v>
      </c>
      <c r="G81" s="2">
        <f>IF(G74&lt;0,F81+G74,F81)</f>
        <v>0</v>
      </c>
      <c r="H81" s="2">
        <f>IF(H74&lt;0,G81+H74,G81)</f>
        <v>0</v>
      </c>
      <c r="I81" s="2"/>
      <c r="J81" s="2"/>
      <c r="K81" s="2"/>
      <c r="L81" s="2"/>
      <c r="M81" s="2"/>
      <c r="N81" s="2"/>
      <c r="O81" s="2"/>
      <c r="P81" s="2"/>
    </row>
    <row r="82" spans="2:16" ht="12.75" hidden="1">
      <c r="B82" s="130"/>
      <c r="C82" s="2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2.75" hidden="1">
      <c r="B83" s="143"/>
      <c r="C83" s="144" t="s">
        <v>89</v>
      </c>
      <c r="D83" s="89">
        <f>D74</f>
        <v>5550183.854026668</v>
      </c>
      <c r="E83" s="89">
        <f>D83+E74</f>
        <v>10843053.39999387</v>
      </c>
      <c r="F83" s="89">
        <f>E83+F74</f>
        <v>16911584.487365413</v>
      </c>
      <c r="G83" s="89">
        <f>F83+G74</f>
        <v>23762215.78050064</v>
      </c>
      <c r="H83" s="89">
        <f>G83+H74</f>
        <v>30908328.918325134</v>
      </c>
      <c r="I83" s="1"/>
      <c r="J83" s="1"/>
      <c r="K83" s="1"/>
      <c r="L83" s="1"/>
      <c r="M83" s="1"/>
      <c r="N83" s="1"/>
      <c r="O83" s="1"/>
      <c r="P83" s="1"/>
    </row>
    <row r="84" spans="2:16" ht="12.75" hidden="1">
      <c r="B84" s="143"/>
      <c r="C84" s="144" t="s">
        <v>90</v>
      </c>
      <c r="D84" s="89"/>
      <c r="E84" s="89">
        <f>D85</f>
        <v>888029.4166442668</v>
      </c>
      <c r="F84" s="89">
        <f>E84+E85</f>
        <v>1734888.5439990193</v>
      </c>
      <c r="G84" s="89">
        <f>F84+F85</f>
        <v>2705853.517978466</v>
      </c>
      <c r="H84" s="89">
        <f>G84+G85</f>
        <v>3801954.5248801024</v>
      </c>
      <c r="I84" s="1"/>
      <c r="J84" s="1"/>
      <c r="K84" s="1"/>
      <c r="L84" s="1"/>
      <c r="M84" s="1"/>
      <c r="N84" s="1"/>
      <c r="O84" s="1"/>
      <c r="P84" s="1"/>
    </row>
    <row r="85" spans="2:16" ht="12.75" hidden="1">
      <c r="B85" s="143"/>
      <c r="C85" s="145" t="s">
        <v>91</v>
      </c>
      <c r="D85" s="89">
        <f>IF(D83&lt;0,0,D83*IPOTEZE!N97)</f>
        <v>888029.4166442668</v>
      </c>
      <c r="E85" s="89">
        <f>IF(E74&lt;0,0,IF(E83&lt;0,0,IF(E83*IPOTEZE!C122&gt;E84,E83*IPOTEZE!C122-E84,0)))</f>
        <v>846859.1273547525</v>
      </c>
      <c r="F85" s="89">
        <f>IF(F74&lt;0,0,IF(F83&lt;0,0,IF(F83*IPOTEZE!D122&gt;F84,F83*IPOTEZE!D122-F84,0)))</f>
        <v>970964.9739794468</v>
      </c>
      <c r="G85" s="89">
        <f>IF(G74&lt;0,0,IF(G83&lt;0,0,IF(G83*IPOTEZE!E122&gt;G84,G83*IPOTEZE!E122-G84,0)))</f>
        <v>1096101.0069016363</v>
      </c>
      <c r="H85" s="89">
        <f>IF(H74&lt;0,0,IF(H83&lt;0,0,IF(H83*IPOTEZE!F122&gt;H84,H83*IPOTEZE!F122-H84,0)))</f>
        <v>1143378.1020519189</v>
      </c>
      <c r="I85" s="1"/>
      <c r="J85" s="1"/>
      <c r="K85" s="1"/>
      <c r="L85" s="1"/>
      <c r="M85" s="1"/>
      <c r="N85" s="1"/>
      <c r="O85" s="1"/>
      <c r="P85" s="1"/>
    </row>
    <row r="86" spans="2:16" ht="12.75">
      <c r="B86" s="130"/>
      <c r="C86" s="2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36"/>
      <c r="B87" s="146"/>
      <c r="J87" s="2"/>
      <c r="K87" s="2"/>
      <c r="L87" s="2"/>
      <c r="M87" s="2"/>
      <c r="N87" s="2"/>
      <c r="O87" s="2"/>
      <c r="P87" s="2"/>
    </row>
    <row r="88" spans="2:16" ht="12.75">
      <c r="B88" s="130"/>
      <c r="J88" s="2"/>
      <c r="K88" s="2"/>
      <c r="L88" s="2"/>
      <c r="M88" s="2"/>
      <c r="N88" s="2"/>
      <c r="O88" s="2"/>
      <c r="P88" s="2"/>
    </row>
    <row r="89" spans="2:16" ht="12.75">
      <c r="B89" s="130"/>
      <c r="J89" s="2"/>
      <c r="K89" s="2"/>
      <c r="L89" s="2"/>
      <c r="M89" s="2"/>
      <c r="N89" s="2"/>
      <c r="O89" s="2"/>
      <c r="P89" s="2"/>
    </row>
    <row r="90" spans="2:16" ht="12.75">
      <c r="B90" s="130"/>
      <c r="J90" s="2"/>
      <c r="K90" s="2"/>
      <c r="L90" s="2"/>
      <c r="M90" s="2"/>
      <c r="N90" s="2"/>
      <c r="O90" s="2"/>
      <c r="P90" s="2"/>
    </row>
    <row r="91" spans="2:16" ht="12.75">
      <c r="B91" s="130"/>
      <c r="J91" s="2"/>
      <c r="K91" s="2"/>
      <c r="L91" s="2"/>
      <c r="M91" s="2"/>
      <c r="N91" s="2"/>
      <c r="O91" s="2"/>
      <c r="P91" s="2"/>
    </row>
    <row r="92" spans="2:16" ht="12.75">
      <c r="B92" s="130"/>
      <c r="J92" s="2"/>
      <c r="K92" s="2"/>
      <c r="L92" s="2"/>
      <c r="M92" s="2"/>
      <c r="N92" s="2"/>
      <c r="O92" s="2"/>
      <c r="P92" s="2"/>
    </row>
    <row r="93" spans="2:16" ht="12.75">
      <c r="B93" s="130"/>
      <c r="J93" s="2"/>
      <c r="K93" s="2"/>
      <c r="L93" s="2"/>
      <c r="M93" s="2"/>
      <c r="N93" s="2"/>
      <c r="O93" s="2"/>
      <c r="P93" s="2"/>
    </row>
    <row r="94" spans="2:16" ht="12.75">
      <c r="B94" s="130"/>
      <c r="J94" s="2"/>
      <c r="K94" s="2"/>
      <c r="L94" s="2"/>
      <c r="M94" s="2"/>
      <c r="N94" s="2"/>
      <c r="O94" s="2"/>
      <c r="P94" s="2"/>
    </row>
    <row r="95" spans="2:16" ht="12.75">
      <c r="B95" s="130"/>
      <c r="J95" s="2"/>
      <c r="K95" s="2"/>
      <c r="L95" s="2"/>
      <c r="M95" s="2"/>
      <c r="N95" s="2"/>
      <c r="O95" s="2"/>
      <c r="P95" s="2"/>
    </row>
    <row r="96" spans="2:16" ht="12.75">
      <c r="B96" s="130"/>
      <c r="J96" s="2"/>
      <c r="K96" s="2"/>
      <c r="L96" s="2"/>
      <c r="M96" s="2"/>
      <c r="N96" s="2"/>
      <c r="O96" s="2"/>
      <c r="P96" s="2"/>
    </row>
    <row r="97" spans="2:16" ht="12.75">
      <c r="B97" s="130"/>
      <c r="J97" s="2"/>
      <c r="K97" s="2"/>
      <c r="L97" s="2"/>
      <c r="M97" s="2"/>
      <c r="N97" s="2"/>
      <c r="O97" s="2"/>
      <c r="P97" s="2"/>
    </row>
    <row r="98" spans="2:16" ht="12.75">
      <c r="B98" s="130"/>
      <c r="J98" s="2"/>
      <c r="K98" s="2"/>
      <c r="L98" s="2"/>
      <c r="M98" s="2"/>
      <c r="N98" s="2"/>
      <c r="O98" s="2"/>
      <c r="P98" s="2"/>
    </row>
    <row r="99" spans="2:16" ht="12.75">
      <c r="B99" s="130"/>
      <c r="J99" s="2"/>
      <c r="K99" s="2"/>
      <c r="L99" s="2"/>
      <c r="M99" s="2"/>
      <c r="N99" s="2"/>
      <c r="O99" s="2"/>
      <c r="P99" s="2"/>
    </row>
    <row r="100" spans="2:16" ht="12.75">
      <c r="B100" s="130"/>
      <c r="J100" s="2"/>
      <c r="K100" s="2"/>
      <c r="L100" s="2"/>
      <c r="M100" s="2"/>
      <c r="N100" s="2"/>
      <c r="O100" s="2"/>
      <c r="P100" s="2"/>
    </row>
    <row r="101" spans="2:16" ht="12.75">
      <c r="B101" s="130"/>
      <c r="J101" s="2"/>
      <c r="K101" s="2"/>
      <c r="L101" s="2"/>
      <c r="M101" s="2"/>
      <c r="N101" s="2"/>
      <c r="O101" s="2"/>
      <c r="P101" s="2"/>
    </row>
    <row r="102" spans="2:16" ht="12.75">
      <c r="B102" s="130"/>
      <c r="J102" s="2"/>
      <c r="K102" s="2"/>
      <c r="L102" s="2"/>
      <c r="M102" s="2"/>
      <c r="N102" s="2"/>
      <c r="O102" s="2"/>
      <c r="P102" s="2"/>
    </row>
    <row r="103" spans="2:16" ht="12.75">
      <c r="B103" s="130"/>
      <c r="J103" s="2"/>
      <c r="K103" s="2"/>
      <c r="L103" s="2"/>
      <c r="M103" s="2"/>
      <c r="N103" s="2"/>
      <c r="O103" s="2"/>
      <c r="P103" s="2"/>
    </row>
    <row r="104" spans="2:16" ht="12.75">
      <c r="B104" s="130"/>
      <c r="J104" s="2"/>
      <c r="K104" s="2"/>
      <c r="L104" s="2"/>
      <c r="M104" s="2"/>
      <c r="N104" s="2"/>
      <c r="O104" s="2"/>
      <c r="P104" s="2"/>
    </row>
    <row r="105" spans="2:16" ht="12.75">
      <c r="B105" s="130"/>
      <c r="J105" s="2"/>
      <c r="K105" s="2"/>
      <c r="L105" s="2"/>
      <c r="M105" s="2"/>
      <c r="N105" s="2"/>
      <c r="O105" s="2"/>
      <c r="P105" s="2"/>
    </row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2:IV73"/>
  <sheetViews>
    <sheetView showGridLines="0" showRowColHeaders="0" zoomScale="130" zoomScaleNormal="130" zoomScalePageLayoutView="0" workbookViewId="0" topLeftCell="A53">
      <selection activeCell="C71" sqref="C71"/>
    </sheetView>
  </sheetViews>
  <sheetFormatPr defaultColWidth="9.140625" defaultRowHeight="12.75"/>
  <cols>
    <col min="1" max="1" width="3.57421875" style="3" customWidth="1"/>
    <col min="2" max="2" width="5.421875" style="3" customWidth="1"/>
    <col min="3" max="3" width="31.140625" style="3" customWidth="1"/>
    <col min="4" max="8" width="10.7109375" style="3" bestFit="1" customWidth="1"/>
    <col min="9" max="15" width="9.140625" style="3" customWidth="1"/>
    <col min="16" max="16" width="10.140625" style="3" bestFit="1" customWidth="1"/>
    <col min="17" max="16384" width="9.140625" style="3" customWidth="1"/>
  </cols>
  <sheetData>
    <row r="2" spans="5:10" ht="23.25">
      <c r="E2" s="436" t="s">
        <v>322</v>
      </c>
      <c r="F2" s="391"/>
      <c r="G2" s="391"/>
      <c r="H2" s="391"/>
      <c r="I2" s="391"/>
      <c r="J2" s="391"/>
    </row>
    <row r="4" ht="12.75"/>
    <row r="5" ht="12.75"/>
    <row r="6" ht="12.75"/>
    <row r="8" spans="4:11" ht="23.25">
      <c r="D8" s="163" t="s">
        <v>290</v>
      </c>
      <c r="E8" s="55"/>
      <c r="F8" s="55"/>
      <c r="G8" s="55"/>
      <c r="H8" s="55"/>
      <c r="I8" s="55"/>
      <c r="J8" s="55"/>
      <c r="K8" s="55"/>
    </row>
    <row r="10" ht="13.5" thickBot="1"/>
    <row r="11" spans="1:256" ht="18">
      <c r="A11" s="168"/>
      <c r="B11" s="201"/>
      <c r="C11" s="181" t="s">
        <v>279</v>
      </c>
      <c r="D11" s="203">
        <v>1</v>
      </c>
      <c r="E11" s="203">
        <v>2</v>
      </c>
      <c r="F11" s="203">
        <v>3</v>
      </c>
      <c r="G11" s="203">
        <v>4</v>
      </c>
      <c r="H11" s="203">
        <v>5</v>
      </c>
      <c r="I11" s="203">
        <v>6</v>
      </c>
      <c r="J11" s="203">
        <v>7</v>
      </c>
      <c r="K11" s="203">
        <v>8</v>
      </c>
      <c r="L11" s="203">
        <v>9</v>
      </c>
      <c r="M11" s="203">
        <v>10</v>
      </c>
      <c r="N11" s="203">
        <v>11</v>
      </c>
      <c r="O11" s="203">
        <v>12</v>
      </c>
      <c r="P11" s="204" t="s">
        <v>77</v>
      </c>
      <c r="Q11" s="202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2:17" ht="12.75">
      <c r="B12" s="146"/>
      <c r="C12" s="184" t="s">
        <v>78</v>
      </c>
      <c r="D12" s="42">
        <f aca="true" t="shared" si="0" ref="D12:P12">SUM(D13:D17)</f>
        <v>1054000</v>
      </c>
      <c r="E12" s="42">
        <f t="shared" si="0"/>
        <v>1225490</v>
      </c>
      <c r="F12" s="42">
        <f t="shared" si="0"/>
        <v>1232483</v>
      </c>
      <c r="G12" s="42">
        <f t="shared" si="0"/>
        <v>1294170.0533333335</v>
      </c>
      <c r="H12" s="42">
        <f t="shared" si="0"/>
        <v>1320211.72</v>
      </c>
      <c r="I12" s="42">
        <f t="shared" si="0"/>
        <v>1349404.192</v>
      </c>
      <c r="J12" s="42">
        <f t="shared" si="0"/>
        <v>1360390.8476800001</v>
      </c>
      <c r="K12" s="42">
        <f t="shared" si="0"/>
        <v>1360390.8476800001</v>
      </c>
      <c r="L12" s="42">
        <f t="shared" si="0"/>
        <v>1222794.2134016</v>
      </c>
      <c r="M12" s="42">
        <f t="shared" si="0"/>
        <v>1144601.4694016</v>
      </c>
      <c r="N12" s="42">
        <f t="shared" si="0"/>
        <v>1605913.9694016</v>
      </c>
      <c r="O12" s="42">
        <f t="shared" si="0"/>
        <v>1605913.9694016</v>
      </c>
      <c r="P12" s="192">
        <f t="shared" si="0"/>
        <v>15775764.282299733</v>
      </c>
      <c r="Q12" s="26"/>
    </row>
    <row r="13" spans="2:16" ht="12.75">
      <c r="B13" s="146"/>
      <c r="C13" s="186" t="s">
        <v>266</v>
      </c>
      <c r="D13" s="41">
        <f>'Cont de Rezultat'!D13/(1+IPOTEZE!C91/100)</f>
        <v>625000</v>
      </c>
      <c r="E13" s="41">
        <f>'Cont de Rezultat'!E13/(1+IPOTEZE!D91/100)</f>
        <v>781250</v>
      </c>
      <c r="F13" s="41">
        <f>'Cont de Rezultat'!F13/(1+IPOTEZE!E91/100)</f>
        <v>781250</v>
      </c>
      <c r="G13" s="41">
        <f>'Cont de Rezultat'!G13/(1+IPOTEZE!F91/100)</f>
        <v>833333.3333333334</v>
      </c>
      <c r="H13" s="41">
        <f>'Cont de Rezultat'!H13/(1+IPOTEZE!G91/100)</f>
        <v>859375</v>
      </c>
      <c r="I13" s="41">
        <f>'Cont de Rezultat'!I13/(1+IPOTEZE!H91/100)</f>
        <v>859375</v>
      </c>
      <c r="J13" s="41">
        <f>'Cont de Rezultat'!J13/(1+IPOTEZE!I91/100)</f>
        <v>859375</v>
      </c>
      <c r="K13" s="41">
        <f>'Cont de Rezultat'!K13/(1+IPOTEZE!J91/100)</f>
        <v>859375</v>
      </c>
      <c r="L13" s="41">
        <f>'Cont de Rezultat'!L13/(1+IPOTEZE!K91/100)</f>
        <v>687500</v>
      </c>
      <c r="M13" s="41">
        <f>'Cont de Rezultat'!M13/(1+IPOTEZE!L91/100)</f>
        <v>605000.0000000001</v>
      </c>
      <c r="N13" s="41">
        <f>'Cont de Rezultat'!N13/(1+IPOTEZE!M91/100)</f>
        <v>1066312.5</v>
      </c>
      <c r="O13" s="41">
        <f>'Cont de Rezultat'!O13/(1+IPOTEZE!N91/100)</f>
        <v>1066312.5</v>
      </c>
      <c r="P13" s="192">
        <f>SUM(D13:O13)</f>
        <v>9883458.333333334</v>
      </c>
    </row>
    <row r="14" spans="2:16" ht="25.5">
      <c r="B14" s="146"/>
      <c r="C14" s="188" t="s">
        <v>267</v>
      </c>
      <c r="D14" s="41">
        <f>'Cont de Rezultat'!D14*IPOTEZE!$C$99/100</f>
        <v>150000</v>
      </c>
      <c r="E14" s="41">
        <f>'Cont de Rezultat'!E14*IPOTEZE!$C$99/100</f>
        <v>157500</v>
      </c>
      <c r="F14" s="41">
        <f>'Cont de Rezultat'!F14*IPOTEZE!$C$99/100</f>
        <v>162225</v>
      </c>
      <c r="G14" s="41">
        <f>'Cont de Rezultat'!G14*IPOTEZE!$C$99/100</f>
        <v>168714</v>
      </c>
      <c r="H14" s="41">
        <f>'Cont de Rezultat'!H14*IPOTEZE!$C$99/100</f>
        <v>168714</v>
      </c>
      <c r="I14" s="41">
        <f>'Cont de Rezultat'!I14*IPOTEZE!$C$99/100</f>
        <v>185585.40000000002</v>
      </c>
      <c r="J14" s="41">
        <f>'Cont de Rezultat'!J14*IPOTEZE!$C$99/100</f>
        <v>193008.81600000002</v>
      </c>
      <c r="K14" s="41">
        <f>'Cont de Rezultat'!K14*IPOTEZE!$C$99/100</f>
        <v>193008.81600000002</v>
      </c>
      <c r="L14" s="41">
        <f>'Cont de Rezultat'!L14*IPOTEZE!$C$99/100</f>
        <v>216169.87392000004</v>
      </c>
      <c r="M14" s="41">
        <f>'Cont de Rezultat'!M14*IPOTEZE!$C$99/100</f>
        <v>216169.87392000004</v>
      </c>
      <c r="N14" s="41">
        <f>'Cont de Rezultat'!N14*IPOTEZE!$C$99/100</f>
        <v>216169.87392000004</v>
      </c>
      <c r="O14" s="41">
        <f>'Cont de Rezultat'!O14*IPOTEZE!$C$99/100</f>
        <v>216169.87392000004</v>
      </c>
      <c r="P14" s="192">
        <f>SUM(D14:O14)</f>
        <v>2243435.5276800008</v>
      </c>
    </row>
    <row r="15" spans="2:16" ht="12.75">
      <c r="B15" s="146"/>
      <c r="C15" s="188" t="s">
        <v>268</v>
      </c>
      <c r="D15" s="41">
        <f>'Cont de Rezultat'!D14*IPOTEZE!$C$100/100</f>
        <v>72000</v>
      </c>
      <c r="E15" s="41">
        <f>'Cont de Rezultat'!E14*IPOTEZE!$C$100/100</f>
        <v>75600</v>
      </c>
      <c r="F15" s="41">
        <f>'Cont de Rezultat'!F14*IPOTEZE!$C$100/100</f>
        <v>77868</v>
      </c>
      <c r="G15" s="41">
        <f>'Cont de Rezultat'!G14*IPOTEZE!$C$100/100</f>
        <v>80982.72</v>
      </c>
      <c r="H15" s="41">
        <f>'Cont de Rezultat'!H14*IPOTEZE!$C$100/100</f>
        <v>80982.72</v>
      </c>
      <c r="I15" s="41">
        <f>'Cont de Rezultat'!I14*IPOTEZE!$C$100/100</f>
        <v>89080.99200000001</v>
      </c>
      <c r="J15" s="41">
        <f>'Cont de Rezultat'!J14*IPOTEZE!$C$100/100</f>
        <v>92644.23168000001</v>
      </c>
      <c r="K15" s="41">
        <f>'Cont de Rezultat'!K14*IPOTEZE!$C$100/100</f>
        <v>92644.23168000001</v>
      </c>
      <c r="L15" s="41">
        <f>'Cont de Rezultat'!L14*IPOTEZE!$C$100/100</f>
        <v>103761.53948160002</v>
      </c>
      <c r="M15" s="41">
        <f>'Cont de Rezultat'!M14*IPOTEZE!$C$100/100</f>
        <v>103761.53948160002</v>
      </c>
      <c r="N15" s="41">
        <f>'Cont de Rezultat'!N14*IPOTEZE!$C$100/100</f>
        <v>103761.53948160002</v>
      </c>
      <c r="O15" s="41">
        <f>'Cont de Rezultat'!O14*IPOTEZE!$C$100/100</f>
        <v>103761.53948160002</v>
      </c>
      <c r="P15" s="192">
        <f>SUM(D15:O15)</f>
        <v>1076849.0532864002</v>
      </c>
    </row>
    <row r="16" spans="2:16" ht="12.75">
      <c r="B16" s="146"/>
      <c r="C16" s="188" t="s">
        <v>269</v>
      </c>
      <c r="D16" s="41">
        <f>IPOTEZE!C92</f>
        <v>150000</v>
      </c>
      <c r="E16" s="41">
        <f>D16*(1+IPOTEZE!D92/100)</f>
        <v>153000</v>
      </c>
      <c r="F16" s="41">
        <f>E16*(1+IPOTEZE!E92/100)</f>
        <v>153000</v>
      </c>
      <c r="G16" s="41">
        <f>F16*(1+IPOTEZE!F92/100)</f>
        <v>153000</v>
      </c>
      <c r="H16" s="41">
        <f>G16*(1+IPOTEZE!G92/100)</f>
        <v>153000</v>
      </c>
      <c r="I16" s="41">
        <f>H16*(1+IPOTEZE!H92/100)</f>
        <v>156060</v>
      </c>
      <c r="J16" s="41">
        <f>I16*(1+IPOTEZE!I92/100)</f>
        <v>156060</v>
      </c>
      <c r="K16" s="41">
        <f>J16*(1+IPOTEZE!J92/100)</f>
        <v>156060</v>
      </c>
      <c r="L16" s="41">
        <f>K16*(1+IPOTEZE!K92/100)</f>
        <v>156060</v>
      </c>
      <c r="M16" s="41">
        <f>L16*(1+IPOTEZE!L92/100)</f>
        <v>159181.2</v>
      </c>
      <c r="N16" s="41">
        <f>M16*(1+IPOTEZE!M92/100)</f>
        <v>159181.2</v>
      </c>
      <c r="O16" s="41">
        <f>N16*(1+IPOTEZE!N92/100)</f>
        <v>159181.2</v>
      </c>
      <c r="P16" s="192">
        <f>SUM(D16:O16)</f>
        <v>1863783.5999999999</v>
      </c>
    </row>
    <row r="17" spans="2:16" ht="12.75">
      <c r="B17" s="146"/>
      <c r="C17" s="188" t="s">
        <v>270</v>
      </c>
      <c r="D17" s="41">
        <f aca="true" t="shared" si="1" ref="D17:O17">D16*0.38</f>
        <v>57000</v>
      </c>
      <c r="E17" s="41">
        <f t="shared" si="1"/>
        <v>58140</v>
      </c>
      <c r="F17" s="41">
        <f t="shared" si="1"/>
        <v>58140</v>
      </c>
      <c r="G17" s="41">
        <f t="shared" si="1"/>
        <v>58140</v>
      </c>
      <c r="H17" s="41">
        <f t="shared" si="1"/>
        <v>58140</v>
      </c>
      <c r="I17" s="41">
        <f t="shared" si="1"/>
        <v>59302.8</v>
      </c>
      <c r="J17" s="41">
        <f t="shared" si="1"/>
        <v>59302.8</v>
      </c>
      <c r="K17" s="41">
        <f t="shared" si="1"/>
        <v>59302.8</v>
      </c>
      <c r="L17" s="41">
        <f t="shared" si="1"/>
        <v>59302.8</v>
      </c>
      <c r="M17" s="41">
        <f t="shared" si="1"/>
        <v>60488.85600000001</v>
      </c>
      <c r="N17" s="41">
        <f t="shared" si="1"/>
        <v>60488.85600000001</v>
      </c>
      <c r="O17" s="41">
        <f t="shared" si="1"/>
        <v>60488.85600000001</v>
      </c>
      <c r="P17" s="192">
        <f>SUM(D17:O17)</f>
        <v>708237.768</v>
      </c>
    </row>
    <row r="18" spans="2:17" ht="12.75">
      <c r="B18" s="146"/>
      <c r="C18" s="191" t="s">
        <v>79</v>
      </c>
      <c r="D18" s="42">
        <f aca="true" t="shared" si="2" ref="D18:P18">SUM(D19:D21)</f>
        <v>258000</v>
      </c>
      <c r="E18" s="42">
        <f t="shared" si="2"/>
        <v>299400</v>
      </c>
      <c r="F18" s="42">
        <f t="shared" si="2"/>
        <v>301857</v>
      </c>
      <c r="G18" s="42">
        <f t="shared" si="2"/>
        <v>305231.28</v>
      </c>
      <c r="H18" s="42">
        <f t="shared" si="2"/>
        <v>321481.28</v>
      </c>
      <c r="I18" s="42">
        <f t="shared" si="2"/>
        <v>335754.408</v>
      </c>
      <c r="J18" s="42">
        <f t="shared" si="2"/>
        <v>339614.58432</v>
      </c>
      <c r="K18" s="42">
        <f t="shared" si="2"/>
        <v>339614.58432</v>
      </c>
      <c r="L18" s="42">
        <f t="shared" si="2"/>
        <v>351658.3344384</v>
      </c>
      <c r="M18" s="42">
        <f t="shared" si="2"/>
        <v>369533.3344384001</v>
      </c>
      <c r="N18" s="42">
        <f t="shared" si="2"/>
        <v>450149.5844384</v>
      </c>
      <c r="O18" s="42">
        <f t="shared" si="2"/>
        <v>459224.5844384</v>
      </c>
      <c r="P18" s="192">
        <f t="shared" si="2"/>
        <v>4131518.9743936</v>
      </c>
      <c r="Q18" s="26"/>
    </row>
    <row r="19" spans="2:16" ht="12.75">
      <c r="B19" s="146"/>
      <c r="C19" s="193" t="s">
        <v>271</v>
      </c>
      <c r="D19" s="41">
        <f>'Cont de Rezultat'!D15*IPOTEZE!$C$101/100</f>
        <v>128000</v>
      </c>
      <c r="E19" s="41">
        <f>'Cont de Rezultat'!E15*IPOTEZE!$C$101/100</f>
        <v>150400</v>
      </c>
      <c r="F19" s="41">
        <f>'Cont de Rezultat'!F15*IPOTEZE!$C$101/100</f>
        <v>151912</v>
      </c>
      <c r="G19" s="41">
        <f>'Cont de Rezultat'!G15*IPOTEZE!$C$101/100</f>
        <v>153988.48</v>
      </c>
      <c r="H19" s="41">
        <f>'Cont de Rezultat'!H15*IPOTEZE!$C$101/100</f>
        <v>163988.48</v>
      </c>
      <c r="I19" s="41">
        <f>'Cont de Rezultat'!I15*IPOTEZE!$C$101/100</f>
        <v>169387.328</v>
      </c>
      <c r="J19" s="41">
        <f>'Cont de Rezultat'!J15*IPOTEZE!$C$101/100</f>
        <v>171762.82112</v>
      </c>
      <c r="K19" s="41">
        <f>'Cont de Rezultat'!K15*IPOTEZE!$C$101/100</f>
        <v>171762.82112</v>
      </c>
      <c r="L19" s="41">
        <f>'Cont de Rezultat'!L15*IPOTEZE!$C$101/100</f>
        <v>179174.3596544</v>
      </c>
      <c r="M19" s="41">
        <f>'Cont de Rezultat'!M15*IPOTEZE!$C$101/100</f>
        <v>190174.35965440006</v>
      </c>
      <c r="N19" s="41">
        <f>'Cont de Rezultat'!N15*IPOTEZE!$C$101/100</f>
        <v>239784.3596544</v>
      </c>
      <c r="O19" s="41">
        <f>'Cont de Rezultat'!O15*IPOTEZE!$C$101/100</f>
        <v>239784.3596544</v>
      </c>
      <c r="P19" s="192">
        <f>SUM(D19:O19)</f>
        <v>2110119.3688576</v>
      </c>
    </row>
    <row r="20" spans="2:16" ht="12.75">
      <c r="B20" s="146"/>
      <c r="C20" s="194" t="s">
        <v>272</v>
      </c>
      <c r="D20" s="41">
        <f>'Cont de Rezultat'!D15*IPOTEZE!$C$102/100</f>
        <v>80000</v>
      </c>
      <c r="E20" s="41">
        <f>'Cont de Rezultat'!E15*IPOTEZE!$C$102/100</f>
        <v>94000</v>
      </c>
      <c r="F20" s="41">
        <f>'Cont de Rezultat'!F15*IPOTEZE!$C$102/100</f>
        <v>94945</v>
      </c>
      <c r="G20" s="41">
        <f>'Cont de Rezultat'!G15*IPOTEZE!$C$102/100</f>
        <v>96242.8</v>
      </c>
      <c r="H20" s="41">
        <f>'Cont de Rezultat'!H15*IPOTEZE!$C$102/100</f>
        <v>102492.8</v>
      </c>
      <c r="I20" s="41">
        <f>'Cont de Rezultat'!I15*IPOTEZE!$C$102/100</f>
        <v>105867.08</v>
      </c>
      <c r="J20" s="41">
        <f>'Cont de Rezultat'!J15*IPOTEZE!$C$102/100</f>
        <v>107351.7632</v>
      </c>
      <c r="K20" s="41">
        <f>'Cont de Rezultat'!K15*IPOTEZE!$C$102/100</f>
        <v>107351.7632</v>
      </c>
      <c r="L20" s="41">
        <f>'Cont de Rezultat'!L15*IPOTEZE!$C$102/100</f>
        <v>111983.97478400002</v>
      </c>
      <c r="M20" s="41">
        <f>'Cont de Rezultat'!M15*IPOTEZE!$C$102/100</f>
        <v>118858.97478400003</v>
      </c>
      <c r="N20" s="41">
        <f>'Cont de Rezultat'!N15*IPOTEZE!$C$102/100</f>
        <v>149865.22478400002</v>
      </c>
      <c r="O20" s="41">
        <f>'Cont de Rezultat'!O15*IPOTEZE!$C$102/100</f>
        <v>149865.22478400002</v>
      </c>
      <c r="P20" s="192">
        <f>SUM(D20:O20)</f>
        <v>1318824.6055360003</v>
      </c>
    </row>
    <row r="21" spans="2:16" ht="12.75">
      <c r="B21" s="146"/>
      <c r="C21" s="195" t="s">
        <v>273</v>
      </c>
      <c r="D21" s="41">
        <f>IPOTEZE!C93</f>
        <v>50000</v>
      </c>
      <c r="E21" s="41">
        <f>D21*(1+IPOTEZE!D93/100)</f>
        <v>55000.00000000001</v>
      </c>
      <c r="F21" s="41">
        <f>E21*(1+IPOTEZE!E93/100)</f>
        <v>55000.00000000001</v>
      </c>
      <c r="G21" s="41">
        <f>F21*(1+IPOTEZE!F93/100)</f>
        <v>55000.00000000001</v>
      </c>
      <c r="H21" s="41">
        <f>G21*(1+IPOTEZE!G93/100)</f>
        <v>55000.00000000001</v>
      </c>
      <c r="I21" s="41">
        <f>H21*(1+IPOTEZE!H93/100)</f>
        <v>60500.000000000015</v>
      </c>
      <c r="J21" s="41">
        <f>I21*(1+IPOTEZE!I93/100)</f>
        <v>60500.000000000015</v>
      </c>
      <c r="K21" s="41">
        <f>J21*(1+IPOTEZE!J93/100)</f>
        <v>60500.000000000015</v>
      </c>
      <c r="L21" s="41">
        <f>K21*(1+IPOTEZE!K93/100)</f>
        <v>60500.000000000015</v>
      </c>
      <c r="M21" s="41">
        <f>L21*(1+IPOTEZE!L93/100)</f>
        <v>60500.000000000015</v>
      </c>
      <c r="N21" s="41">
        <f>M21*(1+IPOTEZE!M93/100)</f>
        <v>60500.000000000015</v>
      </c>
      <c r="O21" s="41">
        <f>N21*(1+IPOTEZE!N93/100)</f>
        <v>69575.00000000001</v>
      </c>
      <c r="P21" s="192">
        <f>SUM(D21:O21)</f>
        <v>702575</v>
      </c>
    </row>
    <row r="22" spans="2:17" ht="12.75">
      <c r="B22" s="146"/>
      <c r="C22" s="184" t="s">
        <v>80</v>
      </c>
      <c r="D22" s="42">
        <f aca="true" t="shared" si="3" ref="D22:P22">SUM(D23:D27)</f>
        <v>64199.99999999999</v>
      </c>
      <c r="E22" s="42">
        <f t="shared" si="3"/>
        <v>63699.99999999999</v>
      </c>
      <c r="F22" s="42">
        <f t="shared" si="3"/>
        <v>64949.99999999999</v>
      </c>
      <c r="G22" s="42">
        <f t="shared" si="3"/>
        <v>63949.99999999999</v>
      </c>
      <c r="H22" s="42">
        <f t="shared" si="3"/>
        <v>113950</v>
      </c>
      <c r="I22" s="42">
        <f t="shared" si="3"/>
        <v>116950</v>
      </c>
      <c r="J22" s="42">
        <f t="shared" si="3"/>
        <v>114950</v>
      </c>
      <c r="K22" s="42">
        <f t="shared" si="3"/>
        <v>114950</v>
      </c>
      <c r="L22" s="42">
        <f t="shared" si="3"/>
        <v>114950</v>
      </c>
      <c r="M22" s="42">
        <f t="shared" si="3"/>
        <v>114950</v>
      </c>
      <c r="N22" s="42">
        <f t="shared" si="3"/>
        <v>114950</v>
      </c>
      <c r="O22" s="42">
        <f t="shared" si="3"/>
        <v>114950</v>
      </c>
      <c r="P22" s="192">
        <f t="shared" si="3"/>
        <v>1177400</v>
      </c>
      <c r="Q22" s="26"/>
    </row>
    <row r="23" spans="2:16" ht="12.75">
      <c r="B23" s="146"/>
      <c r="C23" s="195" t="s">
        <v>274</v>
      </c>
      <c r="D23" s="41">
        <f>IPOTEZE!F41</f>
        <v>2000</v>
      </c>
      <c r="E23" s="41">
        <f>IPOTEZE!F42</f>
        <v>2000</v>
      </c>
      <c r="F23" s="41">
        <f>IPOTEZE!F43</f>
        <v>2250</v>
      </c>
      <c r="G23" s="41">
        <f>IPOTEZE!F44</f>
        <v>2250</v>
      </c>
      <c r="H23" s="41">
        <f>IPOTEZE!F45</f>
        <v>52250</v>
      </c>
      <c r="I23" s="41">
        <f>IPOTEZE!F46</f>
        <v>53250</v>
      </c>
      <c r="J23" s="41">
        <f>IPOTEZE!F47</f>
        <v>53250</v>
      </c>
      <c r="K23" s="41">
        <f>IPOTEZE!F48</f>
        <v>53250</v>
      </c>
      <c r="L23" s="41">
        <f>IPOTEZE!F49</f>
        <v>53250</v>
      </c>
      <c r="M23" s="41">
        <f>IPOTEZE!F50</f>
        <v>53250</v>
      </c>
      <c r="N23" s="41">
        <f>IPOTEZE!F51</f>
        <v>53250</v>
      </c>
      <c r="O23" s="41">
        <f>IPOTEZE!F52</f>
        <v>53250</v>
      </c>
      <c r="P23" s="192">
        <f>SUM(D23:O23)</f>
        <v>433500</v>
      </c>
    </row>
    <row r="24" spans="2:16" ht="25.5">
      <c r="B24" s="146"/>
      <c r="C24" s="195" t="s">
        <v>275</v>
      </c>
      <c r="D24" s="41">
        <f>IPOTEZE!C103*1.38</f>
        <v>55199.99999999999</v>
      </c>
      <c r="E24" s="41">
        <f aca="true" t="shared" si="4" ref="E24:O24">D24</f>
        <v>55199.99999999999</v>
      </c>
      <c r="F24" s="41">
        <f t="shared" si="4"/>
        <v>55199.99999999999</v>
      </c>
      <c r="G24" s="41">
        <f t="shared" si="4"/>
        <v>55199.99999999999</v>
      </c>
      <c r="H24" s="41">
        <f t="shared" si="4"/>
        <v>55199.99999999999</v>
      </c>
      <c r="I24" s="41">
        <f t="shared" si="4"/>
        <v>55199.99999999999</v>
      </c>
      <c r="J24" s="41">
        <f t="shared" si="4"/>
        <v>55199.99999999999</v>
      </c>
      <c r="K24" s="41">
        <f t="shared" si="4"/>
        <v>55199.99999999999</v>
      </c>
      <c r="L24" s="41">
        <f t="shared" si="4"/>
        <v>55199.99999999999</v>
      </c>
      <c r="M24" s="41">
        <f t="shared" si="4"/>
        <v>55199.99999999999</v>
      </c>
      <c r="N24" s="41">
        <f t="shared" si="4"/>
        <v>55199.99999999999</v>
      </c>
      <c r="O24" s="41">
        <f t="shared" si="4"/>
        <v>55199.99999999999</v>
      </c>
      <c r="P24" s="192">
        <f>SUM(D24:O24)</f>
        <v>662399.9999999999</v>
      </c>
    </row>
    <row r="25" spans="2:16" ht="12.75">
      <c r="B25" s="146"/>
      <c r="C25" s="195" t="s">
        <v>276</v>
      </c>
      <c r="D25" s="41">
        <f>IPOTEZE!C104</f>
        <v>5000</v>
      </c>
      <c r="E25" s="41">
        <f aca="true" t="shared" si="5" ref="E25:O25">D25</f>
        <v>5000</v>
      </c>
      <c r="F25" s="41">
        <f t="shared" si="5"/>
        <v>5000</v>
      </c>
      <c r="G25" s="41">
        <f t="shared" si="5"/>
        <v>5000</v>
      </c>
      <c r="H25" s="41">
        <f t="shared" si="5"/>
        <v>5000</v>
      </c>
      <c r="I25" s="41">
        <f t="shared" si="5"/>
        <v>5000</v>
      </c>
      <c r="J25" s="41">
        <f t="shared" si="5"/>
        <v>5000</v>
      </c>
      <c r="K25" s="41">
        <f t="shared" si="5"/>
        <v>5000</v>
      </c>
      <c r="L25" s="41">
        <f t="shared" si="5"/>
        <v>5000</v>
      </c>
      <c r="M25" s="41">
        <f t="shared" si="5"/>
        <v>5000</v>
      </c>
      <c r="N25" s="41">
        <f t="shared" si="5"/>
        <v>5000</v>
      </c>
      <c r="O25" s="41">
        <f t="shared" si="5"/>
        <v>5000</v>
      </c>
      <c r="P25" s="192">
        <f>SUM(D25:O25)</f>
        <v>60000</v>
      </c>
    </row>
    <row r="26" spans="2:16" ht="12.75">
      <c r="B26" s="146"/>
      <c r="C26" s="196" t="s">
        <v>277</v>
      </c>
      <c r="D26" s="41">
        <f>IPOTEZE!C105</f>
        <v>1500</v>
      </c>
      <c r="E26" s="41">
        <f aca="true" t="shared" si="6" ref="E26:O26">D26</f>
        <v>1500</v>
      </c>
      <c r="F26" s="41">
        <f t="shared" si="6"/>
        <v>1500</v>
      </c>
      <c r="G26" s="41">
        <f t="shared" si="6"/>
        <v>1500</v>
      </c>
      <c r="H26" s="41">
        <f t="shared" si="6"/>
        <v>1500</v>
      </c>
      <c r="I26" s="41">
        <f t="shared" si="6"/>
        <v>1500</v>
      </c>
      <c r="J26" s="41">
        <f t="shared" si="6"/>
        <v>1500</v>
      </c>
      <c r="K26" s="41">
        <f t="shared" si="6"/>
        <v>1500</v>
      </c>
      <c r="L26" s="41">
        <f t="shared" si="6"/>
        <v>1500</v>
      </c>
      <c r="M26" s="41">
        <f t="shared" si="6"/>
        <v>1500</v>
      </c>
      <c r="N26" s="41">
        <f t="shared" si="6"/>
        <v>1500</v>
      </c>
      <c r="O26" s="41">
        <f t="shared" si="6"/>
        <v>1500</v>
      </c>
      <c r="P26" s="192">
        <f>SUM(D26:O26)</f>
        <v>18000</v>
      </c>
    </row>
    <row r="27" spans="2:16" ht="12.75">
      <c r="B27" s="146"/>
      <c r="C27" s="195" t="s">
        <v>278</v>
      </c>
      <c r="D27" s="41">
        <f>IPOTEZE!C94</f>
        <v>500</v>
      </c>
      <c r="E27" s="41">
        <f>IPOTEZE!D94</f>
        <v>0</v>
      </c>
      <c r="F27" s="41">
        <f>IPOTEZE!E94</f>
        <v>1000</v>
      </c>
      <c r="G27" s="41">
        <f>IPOTEZE!F94</f>
        <v>0</v>
      </c>
      <c r="H27" s="41">
        <f>IPOTEZE!G94</f>
        <v>0</v>
      </c>
      <c r="I27" s="41">
        <f>IPOTEZE!H94</f>
        <v>2000</v>
      </c>
      <c r="J27" s="41">
        <f>IPOTEZE!I94</f>
        <v>0</v>
      </c>
      <c r="K27" s="41">
        <f>IPOTEZE!J94</f>
        <v>0</v>
      </c>
      <c r="L27" s="41">
        <f>IPOTEZE!K94</f>
        <v>0</v>
      </c>
      <c r="M27" s="41">
        <f>IPOTEZE!L94</f>
        <v>0</v>
      </c>
      <c r="N27" s="41">
        <f>IPOTEZE!M94</f>
        <v>0</v>
      </c>
      <c r="O27" s="41">
        <f>IPOTEZE!N94</f>
        <v>0</v>
      </c>
      <c r="P27" s="192">
        <f>SUM(D27:O27)</f>
        <v>3500</v>
      </c>
    </row>
    <row r="28" spans="2:17" ht="26.25" thickBot="1">
      <c r="B28" s="146"/>
      <c r="C28" s="205" t="s">
        <v>81</v>
      </c>
      <c r="D28" s="206">
        <f aca="true" t="shared" si="7" ref="D28:P28">D22+D18+D12</f>
        <v>1376200</v>
      </c>
      <c r="E28" s="206">
        <f t="shared" si="7"/>
        <v>1588590</v>
      </c>
      <c r="F28" s="206">
        <f t="shared" si="7"/>
        <v>1599290</v>
      </c>
      <c r="G28" s="206">
        <f t="shared" si="7"/>
        <v>1663351.3333333335</v>
      </c>
      <c r="H28" s="206">
        <f t="shared" si="7"/>
        <v>1755643</v>
      </c>
      <c r="I28" s="206">
        <f t="shared" si="7"/>
        <v>1802108.6</v>
      </c>
      <c r="J28" s="206">
        <f t="shared" si="7"/>
        <v>1814955.432</v>
      </c>
      <c r="K28" s="206">
        <f t="shared" si="7"/>
        <v>1814955.432</v>
      </c>
      <c r="L28" s="206">
        <f t="shared" si="7"/>
        <v>1689402.5478400001</v>
      </c>
      <c r="M28" s="206">
        <f t="shared" si="7"/>
        <v>1629084.8038400002</v>
      </c>
      <c r="N28" s="206">
        <f t="shared" si="7"/>
        <v>2171013.55384</v>
      </c>
      <c r="O28" s="206">
        <f t="shared" si="7"/>
        <v>2180088.55384</v>
      </c>
      <c r="P28" s="207">
        <f t="shared" si="7"/>
        <v>21084683.256693333</v>
      </c>
      <c r="Q28" s="26"/>
    </row>
    <row r="29" spans="2:16" ht="12.75">
      <c r="B29" s="130"/>
      <c r="C29" s="15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37"/>
    </row>
    <row r="30" spans="2:16" ht="12.75">
      <c r="B30" s="130"/>
      <c r="C30" s="1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33"/>
    </row>
    <row r="31" spans="2:16" ht="12.75">
      <c r="B31" s="130"/>
      <c r="C31" s="13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33"/>
    </row>
    <row r="32" spans="2:16" ht="12.75">
      <c r="B32" s="130"/>
      <c r="C32" s="13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3"/>
    </row>
    <row r="33" spans="2:16" ht="12.75">
      <c r="B33" s="130"/>
      <c r="C33" s="1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33"/>
    </row>
    <row r="34" spans="2:16" ht="12.75">
      <c r="B34" s="130"/>
      <c r="C34" s="13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3"/>
    </row>
    <row r="35" spans="2:16" ht="12.75">
      <c r="B35" s="130"/>
      <c r="C35" s="13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3"/>
    </row>
    <row r="36" spans="2:16" ht="12.75">
      <c r="B36" s="130"/>
      <c r="C36" s="13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3"/>
    </row>
    <row r="37" spans="2:16" ht="12.75">
      <c r="B37" s="130"/>
      <c r="C37" s="13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3"/>
    </row>
    <row r="38" spans="2:16" ht="12.75">
      <c r="B38" s="130"/>
      <c r="C38" s="13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3"/>
    </row>
    <row r="39" spans="2:16" ht="12.75">
      <c r="B39" s="130"/>
      <c r="C39" s="1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3"/>
    </row>
    <row r="40" spans="2:16" ht="12.75">
      <c r="B40" s="130"/>
      <c r="C40" s="13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33"/>
    </row>
    <row r="41" spans="2:16" ht="12.75">
      <c r="B41" s="130"/>
      <c r="C41" s="13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3"/>
    </row>
    <row r="42" spans="2:16" ht="12.75">
      <c r="B42" s="130"/>
      <c r="C42" s="13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33"/>
    </row>
    <row r="43" spans="2:16" ht="12.75">
      <c r="B43" s="130"/>
      <c r="C43" s="13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3"/>
    </row>
    <row r="44" spans="2:16" ht="12.75">
      <c r="B44" s="130"/>
      <c r="C44" s="13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33"/>
    </row>
    <row r="45" spans="2:16" ht="12.75">
      <c r="B45" s="130"/>
      <c r="C45" s="13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33"/>
    </row>
    <row r="46" spans="2:16" ht="12.75">
      <c r="B46" s="130"/>
      <c r="C46" s="13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33"/>
    </row>
    <row r="47" spans="2:16" ht="12.75">
      <c r="B47" s="130"/>
      <c r="C47" s="13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33"/>
    </row>
    <row r="52" spans="3:9" ht="23.25">
      <c r="C52" s="163" t="s">
        <v>254</v>
      </c>
      <c r="D52" s="55"/>
      <c r="E52" s="55"/>
      <c r="F52" s="55"/>
      <c r="G52" s="55"/>
      <c r="H52" s="55"/>
      <c r="I52" s="55"/>
    </row>
    <row r="54" ht="13.5" thickBot="1"/>
    <row r="55" spans="3:9" ht="15.75">
      <c r="C55" s="181" t="s">
        <v>279</v>
      </c>
      <c r="D55" s="182" t="s">
        <v>92</v>
      </c>
      <c r="E55" s="182" t="s">
        <v>93</v>
      </c>
      <c r="F55" s="182" t="s">
        <v>94</v>
      </c>
      <c r="G55" s="182" t="s">
        <v>95</v>
      </c>
      <c r="H55" s="183" t="s">
        <v>96</v>
      </c>
      <c r="I55" s="177"/>
    </row>
    <row r="56" spans="3:9" ht="12.75">
      <c r="C56" s="184" t="s">
        <v>78</v>
      </c>
      <c r="D56" s="42">
        <f>SUM(D57:D61)</f>
        <v>15775764.282299733</v>
      </c>
      <c r="E56" s="42">
        <f>SUM(E57:E61)</f>
        <v>17379266.328085728</v>
      </c>
      <c r="F56" s="42">
        <f>SUM(F57:F61)</f>
        <v>18018027.86791244</v>
      </c>
      <c r="G56" s="42">
        <f>SUM(G57:G61)</f>
        <v>19166358.767441943</v>
      </c>
      <c r="H56" s="185">
        <f>SUM(H57:H61)</f>
        <v>19890370.260626096</v>
      </c>
      <c r="I56" s="178"/>
    </row>
    <row r="57" spans="3:9" ht="12.75">
      <c r="C57" s="186" t="s">
        <v>266</v>
      </c>
      <c r="D57" s="41">
        <f>Costuri!P13</f>
        <v>9883458.333333334</v>
      </c>
      <c r="E57" s="41">
        <f>'Cont de Rezultat'!E53/(1+IPOTEZE!C112/100)</f>
        <v>11420554.6875</v>
      </c>
      <c r="F57" s="41">
        <f>'Cont de Rezultat'!F53/(1+IPOTEZE!D112/100)</f>
        <v>11991582.421875</v>
      </c>
      <c r="G57" s="171">
        <f>'Cont de Rezultat'!G53/(1+IPOTEZE!E112/100)</f>
        <v>13070824.83984375</v>
      </c>
      <c r="H57" s="187">
        <f>'Cont de Rezultat'!H53/(1+IPOTEZE!F112/100)</f>
        <v>13724366.081835939</v>
      </c>
      <c r="I57" s="169"/>
    </row>
    <row r="58" spans="3:9" ht="25.5">
      <c r="C58" s="188" t="s">
        <v>267</v>
      </c>
      <c r="D58" s="41">
        <f>Costuri!P14</f>
        <v>2243435.5276800008</v>
      </c>
      <c r="E58" s="41">
        <f>'Cont de Rezultat'!E54*IPOTEZE!$C$99/100</f>
        <v>2288304.2382336007</v>
      </c>
      <c r="F58" s="41">
        <f>'Cont de Rezultat'!F54*IPOTEZE!$C$99/100</f>
        <v>2334070.3229982727</v>
      </c>
      <c r="G58" s="41">
        <f>'Cont de Rezultat'!G54*IPOTEZE!$C$99/100</f>
        <v>2380751.729458238</v>
      </c>
      <c r="H58" s="189">
        <f>'Cont de Rezultat'!H54*IPOTEZE!$C$99/100</f>
        <v>2428366.764047403</v>
      </c>
      <c r="I58" s="179"/>
    </row>
    <row r="59" spans="3:9" ht="12.75">
      <c r="C59" s="188" t="s">
        <v>268</v>
      </c>
      <c r="D59" s="41">
        <f>Costuri!P15</f>
        <v>1076849.0532864002</v>
      </c>
      <c r="E59" s="41">
        <f>'Cont de Rezultat'!E54*IPOTEZE!$C$100/100</f>
        <v>1098386.0343521284</v>
      </c>
      <c r="F59" s="41">
        <f>'Cont de Rezultat'!F54*IPOTEZE!$C$100/100</f>
        <v>1120353.755039171</v>
      </c>
      <c r="G59" s="41">
        <f>'Cont de Rezultat'!G54*IPOTEZE!$C$100/100</f>
        <v>1142760.8301399543</v>
      </c>
      <c r="H59" s="190">
        <f>'Cont de Rezultat'!H54*IPOTEZE!$C$100/100</f>
        <v>1165616.0467427534</v>
      </c>
      <c r="I59" s="179"/>
    </row>
    <row r="60" spans="3:9" ht="12.75">
      <c r="C60" s="188" t="s">
        <v>269</v>
      </c>
      <c r="D60" s="41">
        <f>Costuri!P16</f>
        <v>1863783.5999999999</v>
      </c>
      <c r="E60" s="41">
        <f>D60*(1+IPOTEZE!C114/100)</f>
        <v>1863783.5999999999</v>
      </c>
      <c r="F60" s="41">
        <f>E60*(1+IPOTEZE!D114/100)</f>
        <v>1863783.5999999999</v>
      </c>
      <c r="G60" s="41">
        <f>F60*(1+IPOTEZE!E114/100)</f>
        <v>1863783.5999999999</v>
      </c>
      <c r="H60" s="190">
        <f>G60*(1+IPOTEZE!F114/100)</f>
        <v>1863783.5999999999</v>
      </c>
      <c r="I60" s="179"/>
    </row>
    <row r="61" spans="3:9" ht="12.75">
      <c r="C61" s="188" t="s">
        <v>270</v>
      </c>
      <c r="D61" s="41">
        <f>Costuri!P17</f>
        <v>708237.768</v>
      </c>
      <c r="E61" s="41">
        <f>E60*0.38</f>
        <v>708237.7679999999</v>
      </c>
      <c r="F61" s="41">
        <f>F60*0.38</f>
        <v>708237.7679999999</v>
      </c>
      <c r="G61" s="41">
        <f>G60*0.38</f>
        <v>708237.7679999999</v>
      </c>
      <c r="H61" s="190">
        <f>H60*0.38</f>
        <v>708237.7679999999</v>
      </c>
      <c r="I61" s="179"/>
    </row>
    <row r="62" spans="3:9" ht="12.75">
      <c r="C62" s="191" t="s">
        <v>79</v>
      </c>
      <c r="D62" s="42">
        <f>SUM(D63:D65)</f>
        <v>4131518.9743936</v>
      </c>
      <c r="E62" s="42">
        <f>SUM(E63:E65)</f>
        <v>4267968.578881472</v>
      </c>
      <c r="F62" s="42">
        <f>SUM(F63:F65)</f>
        <v>4410540.711709102</v>
      </c>
      <c r="G62" s="42">
        <f>SUM(G63:G65)</f>
        <v>4659297.4660057835</v>
      </c>
      <c r="H62" s="192">
        <f>SUM(H63:H65)</f>
        <v>4819993.862326525</v>
      </c>
      <c r="I62" s="180"/>
    </row>
    <row r="63" spans="3:9" ht="12.75">
      <c r="C63" s="193" t="s">
        <v>271</v>
      </c>
      <c r="D63" s="41">
        <f>Costuri!P19</f>
        <v>2110119.3688576</v>
      </c>
      <c r="E63" s="41">
        <f>'Cont de Rezultat'!E55*IPOTEZE!$C$101/100</f>
        <v>2194088.356234752</v>
      </c>
      <c r="F63" s="41">
        <f>'Cont de Rezultat'!F55*IPOTEZE!$C$101/100</f>
        <v>2281825.053359447</v>
      </c>
      <c r="G63" s="41">
        <f>'Cont de Rezultat'!G55*IPOTEZE!$C$101/100</f>
        <v>2434906.1329266364</v>
      </c>
      <c r="H63" s="190">
        <f>'Cont de Rezultat'!H55*IPOTEZE!$C$101/100</f>
        <v>2533796.222970169</v>
      </c>
      <c r="I63" s="179"/>
    </row>
    <row r="64" spans="3:9" ht="12.75">
      <c r="C64" s="194" t="s">
        <v>272</v>
      </c>
      <c r="D64" s="41">
        <f>Costuri!P20</f>
        <v>1318824.6055360003</v>
      </c>
      <c r="E64" s="41">
        <f>'Cont de Rezultat'!E55*IPOTEZE!$C$102/100</f>
        <v>1371305.22264672</v>
      </c>
      <c r="F64" s="41">
        <f>'Cont de Rezultat'!F55*IPOTEZE!$C$102/100</f>
        <v>1426140.6583496544</v>
      </c>
      <c r="G64" s="41">
        <f>'Cont de Rezultat'!G55*IPOTEZE!$C$102/100</f>
        <v>1521816.3330791476</v>
      </c>
      <c r="H64" s="190">
        <f>'Cont de Rezultat'!H55*IPOTEZE!$C$102/100</f>
        <v>1583622.6393563556</v>
      </c>
      <c r="I64" s="179"/>
    </row>
    <row r="65" spans="3:9" ht="12.75">
      <c r="C65" s="195" t="s">
        <v>273</v>
      </c>
      <c r="D65" s="41">
        <f>Costuri!P21</f>
        <v>702575</v>
      </c>
      <c r="E65" s="41">
        <f>D65*(1+IPOTEZE!C116/100)</f>
        <v>702575</v>
      </c>
      <c r="F65" s="41">
        <f>E65*(1+IPOTEZE!D116/100)</f>
        <v>702575</v>
      </c>
      <c r="G65" s="41">
        <f>F65*(1+IPOTEZE!E116/100)</f>
        <v>702575</v>
      </c>
      <c r="H65" s="190">
        <f>G65*(1+IPOTEZE!F116/100)</f>
        <v>702575</v>
      </c>
      <c r="I65" s="179"/>
    </row>
    <row r="66" spans="3:9" ht="12.75">
      <c r="C66" s="184" t="s">
        <v>80</v>
      </c>
      <c r="D66" s="42">
        <f>SUM(D67:D71)</f>
        <v>1177400</v>
      </c>
      <c r="E66" s="42">
        <f>SUM(E67:E71)</f>
        <v>1179400</v>
      </c>
      <c r="F66" s="42">
        <f>SUM(F67:F71)</f>
        <v>1179400</v>
      </c>
      <c r="G66" s="42">
        <f>SUM(G67:G71)</f>
        <v>1204400</v>
      </c>
      <c r="H66" s="192">
        <f>SUM(H67:H71)</f>
        <v>1236400</v>
      </c>
      <c r="I66" s="180"/>
    </row>
    <row r="67" spans="3:9" ht="12.75">
      <c r="C67" s="195" t="s">
        <v>274</v>
      </c>
      <c r="D67" s="41">
        <f>Costuri!P23</f>
        <v>433500</v>
      </c>
      <c r="E67" s="41">
        <f>IPOTEZE!F54</f>
        <v>435500</v>
      </c>
      <c r="F67" s="41">
        <f>IPOTEZE!F55</f>
        <v>435500</v>
      </c>
      <c r="G67" s="41">
        <f>IPOTEZE!F56</f>
        <v>460500</v>
      </c>
      <c r="H67" s="190">
        <f>IPOTEZE!F57</f>
        <v>492500</v>
      </c>
      <c r="I67" s="179"/>
    </row>
    <row r="68" spans="3:9" ht="25.5">
      <c r="C68" s="195" t="s">
        <v>275</v>
      </c>
      <c r="D68" s="41">
        <f>Costuri!P24</f>
        <v>662399.9999999999</v>
      </c>
      <c r="E68" s="41">
        <f>D68*(1+IPOTEZE!C115/100)</f>
        <v>662399.9999999999</v>
      </c>
      <c r="F68" s="41">
        <f>E68*(1+IPOTEZE!D115/100)</f>
        <v>662399.9999999999</v>
      </c>
      <c r="G68" s="41">
        <f>F68*(1+IPOTEZE!E115/100)</f>
        <v>662399.9999999999</v>
      </c>
      <c r="H68" s="190">
        <f>G68*(1+IPOTEZE!F115/100)</f>
        <v>662399.9999999999</v>
      </c>
      <c r="I68" s="179"/>
    </row>
    <row r="69" spans="3:9" ht="12.75">
      <c r="C69" s="195" t="s">
        <v>276</v>
      </c>
      <c r="D69" s="41">
        <f>Costuri!P25</f>
        <v>60000</v>
      </c>
      <c r="E69" s="41">
        <f>D69*(1+IPOTEZE!C117/100)</f>
        <v>60000</v>
      </c>
      <c r="F69" s="41">
        <f>E69*(1+IPOTEZE!D117/100)</f>
        <v>60000</v>
      </c>
      <c r="G69" s="41">
        <f>F69*(1+IPOTEZE!E117/100)</f>
        <v>60000</v>
      </c>
      <c r="H69" s="190">
        <f>G69*(1+IPOTEZE!F117/100)</f>
        <v>60000</v>
      </c>
      <c r="I69" s="179"/>
    </row>
    <row r="70" spans="3:9" ht="12.75">
      <c r="C70" s="196" t="s">
        <v>277</v>
      </c>
      <c r="D70" s="41">
        <f>Costuri!P26</f>
        <v>18000</v>
      </c>
      <c r="E70" s="41">
        <f>D70*(1+IPOTEZE!C118/100)</f>
        <v>18000</v>
      </c>
      <c r="F70" s="41">
        <f>E70*(1+IPOTEZE!D118/100)</f>
        <v>18000</v>
      </c>
      <c r="G70" s="41">
        <f>F70*(1+IPOTEZE!E118/100)</f>
        <v>18000</v>
      </c>
      <c r="H70" s="190">
        <f>G70*(1+IPOTEZE!F118/100)</f>
        <v>18000</v>
      </c>
      <c r="I70" s="179"/>
    </row>
    <row r="71" spans="3:9" ht="12.75">
      <c r="C71" s="195" t="s">
        <v>278</v>
      </c>
      <c r="D71" s="41">
        <f>Costuri!P27</f>
        <v>3500</v>
      </c>
      <c r="E71" s="41">
        <f>D71*(1+IPOTEZE!C119/100)</f>
        <v>3500</v>
      </c>
      <c r="F71" s="41">
        <f>E71*(1+IPOTEZE!D119/100)</f>
        <v>3500</v>
      </c>
      <c r="G71" s="41">
        <f>F71*(1+IPOTEZE!E119/100)</f>
        <v>3500</v>
      </c>
      <c r="H71" s="190">
        <f>G71*(1+IPOTEZE!F119/100)</f>
        <v>3500</v>
      </c>
      <c r="I71" s="179"/>
    </row>
    <row r="72" spans="3:9" ht="25.5">
      <c r="C72" s="197" t="s">
        <v>81</v>
      </c>
      <c r="D72" s="170">
        <f>D56+D62+D66</f>
        <v>21084683.256693333</v>
      </c>
      <c r="E72" s="170">
        <f>E56+E62+E66</f>
        <v>22826634.9069672</v>
      </c>
      <c r="F72" s="170">
        <f>F56+F62+F66</f>
        <v>23607968.579621542</v>
      </c>
      <c r="G72" s="170">
        <f>G56+G62+G66</f>
        <v>25030056.233447727</v>
      </c>
      <c r="H72" s="185">
        <f>H56+H62+H66</f>
        <v>25946764.12295262</v>
      </c>
      <c r="I72" s="180"/>
    </row>
    <row r="73" spans="3:9" ht="18.75" thickBot="1">
      <c r="C73" s="198" t="s">
        <v>97</v>
      </c>
      <c r="D73" s="199">
        <f>'Cont de Rezultat'!D66-D72</f>
        <v>0</v>
      </c>
      <c r="E73" s="199">
        <f>'Cont de Rezultat'!E66-E72</f>
        <v>0</v>
      </c>
      <c r="F73" s="199">
        <f>'Cont de Rezultat'!F66-F72</f>
        <v>0</v>
      </c>
      <c r="G73" s="199">
        <f>'Cont de Rezultat'!G66-G72</f>
        <v>0</v>
      </c>
      <c r="H73" s="200">
        <f>'Cont de Rezultat'!H66-H72</f>
        <v>0</v>
      </c>
      <c r="I73" s="174"/>
    </row>
    <row r="79" ht="12.75"/>
  </sheetData>
  <sheetProtection password="CD2C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P106"/>
  <sheetViews>
    <sheetView showGridLines="0" showRowColHeaders="0" zoomScalePageLayoutView="0" workbookViewId="0" topLeftCell="A97">
      <selection activeCell="A1" sqref="A1"/>
    </sheetView>
  </sheetViews>
  <sheetFormatPr defaultColWidth="8.8515625" defaultRowHeight="12.75"/>
  <cols>
    <col min="1" max="1" width="8.8515625" style="3" customWidth="1"/>
    <col min="2" max="2" width="25.140625" style="3" customWidth="1"/>
    <col min="3" max="3" width="11.7109375" style="3" customWidth="1"/>
    <col min="4" max="5" width="11.7109375" style="3" bestFit="1" customWidth="1"/>
    <col min="6" max="6" width="15.00390625" style="3" customWidth="1"/>
    <col min="7" max="8" width="11.7109375" style="3" bestFit="1" customWidth="1"/>
    <col min="9" max="9" width="12.57421875" style="3" customWidth="1"/>
    <col min="10" max="10" width="13.28125" style="3" customWidth="1"/>
    <col min="11" max="11" width="12.57421875" style="3" customWidth="1"/>
    <col min="12" max="12" width="13.28125" style="3" customWidth="1"/>
    <col min="13" max="15" width="12.57421875" style="3" customWidth="1"/>
    <col min="16" max="16384" width="8.8515625" style="3" customWidth="1"/>
  </cols>
  <sheetData>
    <row r="2" spans="7:10" ht="23.25">
      <c r="G2" s="436" t="s">
        <v>323</v>
      </c>
      <c r="H2" s="391"/>
      <c r="I2" s="391"/>
      <c r="J2" s="391"/>
    </row>
    <row r="4" ht="12.75"/>
    <row r="5" ht="12.75"/>
    <row r="6" spans="6:11" ht="23.25">
      <c r="F6" s="163" t="s">
        <v>255</v>
      </c>
      <c r="G6" s="55"/>
      <c r="H6" s="55"/>
      <c r="I6" s="55"/>
      <c r="J6" s="55"/>
      <c r="K6" s="55"/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3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2.75">
      <c r="B10" s="461" t="s">
        <v>98</v>
      </c>
      <c r="C10" s="208">
        <v>1</v>
      </c>
      <c r="D10" s="208">
        <v>2</v>
      </c>
      <c r="E10" s="208">
        <v>3</v>
      </c>
      <c r="F10" s="208">
        <v>4</v>
      </c>
      <c r="G10" s="208">
        <v>5</v>
      </c>
      <c r="H10" s="208">
        <v>6</v>
      </c>
      <c r="I10" s="208">
        <v>7</v>
      </c>
      <c r="J10" s="208">
        <v>8</v>
      </c>
      <c r="K10" s="208">
        <v>9</v>
      </c>
      <c r="L10" s="208">
        <v>10</v>
      </c>
      <c r="M10" s="208">
        <v>11</v>
      </c>
      <c r="N10" s="208">
        <v>12</v>
      </c>
      <c r="O10" s="209" t="s">
        <v>99</v>
      </c>
    </row>
    <row r="11" spans="2:15" ht="12.75">
      <c r="B11" s="210" t="s">
        <v>100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2"/>
    </row>
    <row r="12" spans="2:15" ht="12.75">
      <c r="B12" s="184" t="s">
        <v>101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2:15" ht="12.75">
      <c r="B13" s="188" t="s">
        <v>345</v>
      </c>
      <c r="C13" s="41">
        <f>IPOTEZE!D40+IPOTEZE!D41</f>
        <v>10000000</v>
      </c>
      <c r="D13" s="41">
        <f>IPOTEZE!D42+C13</f>
        <v>10000000</v>
      </c>
      <c r="E13" s="41">
        <f>IPOTEZE!D43+D13</f>
        <v>10015000</v>
      </c>
      <c r="F13" s="41">
        <f>IPOTEZE!D44+E13</f>
        <v>10015000</v>
      </c>
      <c r="G13" s="41">
        <f>IPOTEZE!D45+F13</f>
        <v>17515000</v>
      </c>
      <c r="H13" s="41">
        <f>IPOTEZE!D46+G13</f>
        <v>17567000</v>
      </c>
      <c r="I13" s="41">
        <f>IPOTEZE!D47+H13</f>
        <v>17567000</v>
      </c>
      <c r="J13" s="41">
        <f>IPOTEZE!D48+I13</f>
        <v>17567000</v>
      </c>
      <c r="K13" s="41">
        <f>IPOTEZE!D49+J13</f>
        <v>17567000</v>
      </c>
      <c r="L13" s="41">
        <f>IPOTEZE!D50+K13</f>
        <v>17567000</v>
      </c>
      <c r="M13" s="41">
        <f>IPOTEZE!D51+L13</f>
        <v>17567000</v>
      </c>
      <c r="N13" s="41">
        <f>IPOTEZE!D52+M13</f>
        <v>17567000</v>
      </c>
      <c r="O13" s="212">
        <f>N13</f>
        <v>17567000</v>
      </c>
    </row>
    <row r="14" spans="2:15" ht="12.75">
      <c r="B14" s="188" t="s">
        <v>346</v>
      </c>
      <c r="C14" s="41">
        <f>IPOTEZE!G41</f>
        <v>2000</v>
      </c>
      <c r="D14" s="41">
        <f>IPOTEZE!G42</f>
        <v>4000</v>
      </c>
      <c r="E14" s="41">
        <f>IPOTEZE!G43</f>
        <v>6250</v>
      </c>
      <c r="F14" s="41">
        <f>IPOTEZE!G44</f>
        <v>8500</v>
      </c>
      <c r="G14" s="41">
        <f>IPOTEZE!G45</f>
        <v>60750</v>
      </c>
      <c r="H14" s="41">
        <f>IPOTEZE!G46</f>
        <v>114000</v>
      </c>
      <c r="I14" s="41">
        <f>IPOTEZE!G47</f>
        <v>167250</v>
      </c>
      <c r="J14" s="41">
        <f>IPOTEZE!G48</f>
        <v>220500</v>
      </c>
      <c r="K14" s="41">
        <f>IPOTEZE!G49</f>
        <v>273750</v>
      </c>
      <c r="L14" s="41">
        <f>IPOTEZE!G50</f>
        <v>327000</v>
      </c>
      <c r="M14" s="41">
        <f>IPOTEZE!G51</f>
        <v>380250</v>
      </c>
      <c r="N14" s="41">
        <f>IPOTEZE!G52</f>
        <v>433500</v>
      </c>
      <c r="O14" s="212">
        <f>N14</f>
        <v>433500</v>
      </c>
    </row>
    <row r="15" spans="2:15" ht="12.75">
      <c r="B15" s="188" t="s">
        <v>356</v>
      </c>
      <c r="C15" s="41">
        <f aca="true" t="shared" si="0" ref="C15:N15">C13-C14</f>
        <v>9998000</v>
      </c>
      <c r="D15" s="41">
        <f t="shared" si="0"/>
        <v>9996000</v>
      </c>
      <c r="E15" s="41">
        <f t="shared" si="0"/>
        <v>10008750</v>
      </c>
      <c r="F15" s="41">
        <f t="shared" si="0"/>
        <v>10006500</v>
      </c>
      <c r="G15" s="41">
        <f t="shared" si="0"/>
        <v>17454250</v>
      </c>
      <c r="H15" s="41">
        <f t="shared" si="0"/>
        <v>17453000</v>
      </c>
      <c r="I15" s="41">
        <f t="shared" si="0"/>
        <v>17399750</v>
      </c>
      <c r="J15" s="41">
        <f t="shared" si="0"/>
        <v>17346500</v>
      </c>
      <c r="K15" s="41">
        <f t="shared" si="0"/>
        <v>17293250</v>
      </c>
      <c r="L15" s="41">
        <f t="shared" si="0"/>
        <v>17240000</v>
      </c>
      <c r="M15" s="41">
        <f t="shared" si="0"/>
        <v>17186750</v>
      </c>
      <c r="N15" s="41">
        <f t="shared" si="0"/>
        <v>17133500</v>
      </c>
      <c r="O15" s="212">
        <f>N15</f>
        <v>17133500</v>
      </c>
    </row>
    <row r="16" spans="2:15" ht="12.75">
      <c r="B16" s="184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12"/>
    </row>
    <row r="17" spans="2:15" ht="12.75">
      <c r="B17" s="188" t="s">
        <v>347</v>
      </c>
      <c r="C17" s="41">
        <f>IPOTEZE!C150</f>
        <v>350000</v>
      </c>
      <c r="D17" s="41">
        <f>IPOTEZE!$D$150*'Cont de Rezultat'!E15</f>
        <v>411250</v>
      </c>
      <c r="E17" s="41">
        <f>IPOTEZE!$D$150*'Cont de Rezultat'!F15</f>
        <v>415384.375</v>
      </c>
      <c r="F17" s="41">
        <f>IPOTEZE!$D$150*'Cont de Rezultat'!G15</f>
        <v>421062.25</v>
      </c>
      <c r="G17" s="41">
        <f>IPOTEZE!$D$150*'Cont de Rezultat'!H15</f>
        <v>448406</v>
      </c>
      <c r="H17" s="41">
        <f>IPOTEZE!$D$150*'Cont de Rezultat'!I15</f>
        <v>463168.47500000003</v>
      </c>
      <c r="I17" s="41">
        <f>IPOTEZE!$D$150*'Cont de Rezultat'!J15</f>
        <v>469663.964</v>
      </c>
      <c r="J17" s="41">
        <f>IPOTEZE!$D$150*'Cont de Rezultat'!K15</f>
        <v>469663.964</v>
      </c>
      <c r="K17" s="41">
        <f>IPOTEZE!$D$150*'Cont de Rezultat'!L15</f>
        <v>489929.88968</v>
      </c>
      <c r="L17" s="41">
        <f>IPOTEZE!$D$150*'Cont de Rezultat'!M15</f>
        <v>520008.01468000014</v>
      </c>
      <c r="M17" s="41">
        <f>IPOTEZE!$D$150*'Cont de Rezultat'!N15</f>
        <v>655660.35843</v>
      </c>
      <c r="N17" s="41">
        <f>IPOTEZE!$D$150*'Cont de Rezultat'!O15</f>
        <v>655660.35843</v>
      </c>
      <c r="O17" s="212">
        <f>N17</f>
        <v>655660.35843</v>
      </c>
    </row>
    <row r="18" spans="2:15" ht="12.75">
      <c r="B18" s="188" t="s">
        <v>348</v>
      </c>
      <c r="C18" s="41">
        <f>IPOTEZE!C151</f>
        <v>250000</v>
      </c>
      <c r="D18" s="41">
        <f>IPOTEZE!$D$151*IPOTEZE!D147</f>
        <v>293750</v>
      </c>
      <c r="E18" s="41">
        <f>IPOTEZE!$D$151*IPOTEZE!E147</f>
        <v>296703.125</v>
      </c>
      <c r="F18" s="41">
        <f>IPOTEZE!$D$151*IPOTEZE!F147</f>
        <v>300758.75</v>
      </c>
      <c r="G18" s="41">
        <f>IPOTEZE!$D$151*IPOTEZE!G147</f>
        <v>320290</v>
      </c>
      <c r="H18" s="41">
        <f>IPOTEZE!$D$151*IPOTEZE!H147</f>
        <v>330834.625</v>
      </c>
      <c r="I18" s="41">
        <f>IPOTEZE!$D$151*IPOTEZE!I147</f>
        <v>335474.26</v>
      </c>
      <c r="J18" s="41">
        <f>IPOTEZE!$D$151*IPOTEZE!J147</f>
        <v>335474.26</v>
      </c>
      <c r="K18" s="41">
        <f>IPOTEZE!$D$151*IPOTEZE!K147</f>
        <v>349949.92120000004</v>
      </c>
      <c r="L18" s="41">
        <f>IPOTEZE!$D$151*IPOTEZE!L147</f>
        <v>371434.2962000001</v>
      </c>
      <c r="M18" s="41">
        <f>IPOTEZE!$D$151*IPOTEZE!M147</f>
        <v>468328.82745000004</v>
      </c>
      <c r="N18" s="41">
        <f>IPOTEZE!$D$151*IPOTEZE!N147</f>
        <v>468328.82745000004</v>
      </c>
      <c r="O18" s="212">
        <f>N18</f>
        <v>468328.82745000004</v>
      </c>
    </row>
    <row r="19" spans="2:15" ht="12.75">
      <c r="B19" s="188" t="s">
        <v>349</v>
      </c>
      <c r="C19" s="41">
        <f>IPOTEZE!C152</f>
        <v>56000</v>
      </c>
      <c r="D19" s="41">
        <f>IPOTEZE!$D$152*'Cont de Rezultat'!E15</f>
        <v>65800</v>
      </c>
      <c r="E19" s="41">
        <f>IPOTEZE!$D$152*'Cont de Rezultat'!F15</f>
        <v>66461.5</v>
      </c>
      <c r="F19" s="41">
        <f>IPOTEZE!$D$152*'Cont de Rezultat'!G15</f>
        <v>67369.96</v>
      </c>
      <c r="G19" s="41">
        <f>IPOTEZE!$D$152*'Cont de Rezultat'!H15</f>
        <v>71744.96</v>
      </c>
      <c r="H19" s="41">
        <f>IPOTEZE!$D$152*'Cont de Rezultat'!I15</f>
        <v>74106.956</v>
      </c>
      <c r="I19" s="41">
        <f>IPOTEZE!$D$152*'Cont de Rezultat'!J15</f>
        <v>75146.23424</v>
      </c>
      <c r="J19" s="41">
        <f>IPOTEZE!$D$152*'Cont de Rezultat'!K15</f>
        <v>75146.23424</v>
      </c>
      <c r="K19" s="41">
        <f>IPOTEZE!$D$152*'Cont de Rezultat'!L15</f>
        <v>78388.78234880001</v>
      </c>
      <c r="L19" s="41">
        <f>IPOTEZE!$D$152*'Cont de Rezultat'!M15</f>
        <v>83201.28234880003</v>
      </c>
      <c r="M19" s="41">
        <f>IPOTEZE!$D$152*'Cont de Rezultat'!N15</f>
        <v>104905.65734880001</v>
      </c>
      <c r="N19" s="41">
        <f>IPOTEZE!$D$152*'Cont de Rezultat'!O15</f>
        <v>104905.65734880001</v>
      </c>
      <c r="O19" s="212">
        <f>N19</f>
        <v>104905.65734880001</v>
      </c>
    </row>
    <row r="20" spans="2:15" ht="12.75">
      <c r="B20" s="188" t="s">
        <v>350</v>
      </c>
      <c r="C20" s="41">
        <f>'Flux de Numerar'!C25</f>
        <v>7416050</v>
      </c>
      <c r="D20" s="41">
        <f>'Flux de Numerar'!D25</f>
        <v>7630785</v>
      </c>
      <c r="E20" s="41">
        <f>'Flux de Numerar'!E25</f>
        <v>7957300.0625</v>
      </c>
      <c r="F20" s="41">
        <f>'Flux de Numerar'!F25</f>
        <v>8096596.481666666</v>
      </c>
      <c r="G20" s="41">
        <f>'Flux de Numerar'!G25</f>
        <v>914700.1066666665</v>
      </c>
      <c r="H20" s="41">
        <f>'Flux de Numerar'!H25</f>
        <v>1209596.7831666665</v>
      </c>
      <c r="I20" s="41">
        <f>'Flux de Numerar'!I25</f>
        <v>1213876.5261599997</v>
      </c>
      <c r="J20" s="41">
        <f>'Flux de Numerar'!J25</f>
        <v>1379581.3581599994</v>
      </c>
      <c r="K20" s="41">
        <f>'Flux de Numerar'!K25</f>
        <v>1748986.6010991994</v>
      </c>
      <c r="L20" s="41">
        <f>'Flux de Numerar'!L25</f>
        <v>2080516.1225447997</v>
      </c>
      <c r="M20" s="41">
        <f>'Flux de Numerar'!M25</f>
        <v>2528499.9550098004</v>
      </c>
      <c r="N20" s="41">
        <f>'Flux de Numerar'!N25</f>
        <v>3191840.896849801</v>
      </c>
      <c r="O20" s="212">
        <f>'Flux de Numerar'!O25</f>
        <v>3191840.896849801</v>
      </c>
    </row>
    <row r="21" spans="2:15" ht="12.75">
      <c r="B21" s="213" t="s">
        <v>103</v>
      </c>
      <c r="C21" s="41">
        <f aca="true" t="shared" si="1" ref="C21:N21">SUM(C17:C20)</f>
        <v>8072050</v>
      </c>
      <c r="D21" s="41">
        <f t="shared" si="1"/>
        <v>8401585</v>
      </c>
      <c r="E21" s="41">
        <f t="shared" si="1"/>
        <v>8735849.0625</v>
      </c>
      <c r="F21" s="41">
        <f t="shared" si="1"/>
        <v>8885787.441666666</v>
      </c>
      <c r="G21" s="41">
        <f t="shared" si="1"/>
        <v>1755141.0666666664</v>
      </c>
      <c r="H21" s="41">
        <f t="shared" si="1"/>
        <v>2077706.8391666666</v>
      </c>
      <c r="I21" s="41">
        <f t="shared" si="1"/>
        <v>2094160.9843999995</v>
      </c>
      <c r="J21" s="41">
        <f t="shared" si="1"/>
        <v>2259865.8163999994</v>
      </c>
      <c r="K21" s="41">
        <f t="shared" si="1"/>
        <v>2667255.1943279994</v>
      </c>
      <c r="L21" s="41">
        <f t="shared" si="1"/>
        <v>3055159.7157736</v>
      </c>
      <c r="M21" s="41">
        <f t="shared" si="1"/>
        <v>3757394.7982386006</v>
      </c>
      <c r="N21" s="41">
        <f t="shared" si="1"/>
        <v>4420735.740078601</v>
      </c>
      <c r="O21" s="212">
        <f>N21</f>
        <v>4420735.740078601</v>
      </c>
    </row>
    <row r="22" spans="2:15" ht="12.75">
      <c r="B22" s="184" t="s">
        <v>104</v>
      </c>
      <c r="C22" s="42">
        <f aca="true" t="shared" si="2" ref="C22:O22">C15+C21</f>
        <v>18070050</v>
      </c>
      <c r="D22" s="42">
        <f t="shared" si="2"/>
        <v>18397585</v>
      </c>
      <c r="E22" s="42">
        <f t="shared" si="2"/>
        <v>18744599.0625</v>
      </c>
      <c r="F22" s="42">
        <f t="shared" si="2"/>
        <v>18892287.441666666</v>
      </c>
      <c r="G22" s="42">
        <f t="shared" si="2"/>
        <v>19209391.066666666</v>
      </c>
      <c r="H22" s="42">
        <f t="shared" si="2"/>
        <v>19530706.839166667</v>
      </c>
      <c r="I22" s="42">
        <f t="shared" si="2"/>
        <v>19493910.9844</v>
      </c>
      <c r="J22" s="42">
        <f t="shared" si="2"/>
        <v>19606365.8164</v>
      </c>
      <c r="K22" s="42">
        <f t="shared" si="2"/>
        <v>19960505.194328</v>
      </c>
      <c r="L22" s="42">
        <f t="shared" si="2"/>
        <v>20295159.7157736</v>
      </c>
      <c r="M22" s="42">
        <f t="shared" si="2"/>
        <v>20944144.7982386</v>
      </c>
      <c r="N22" s="42">
        <f t="shared" si="2"/>
        <v>21554235.740078602</v>
      </c>
      <c r="O22" s="212">
        <f t="shared" si="2"/>
        <v>21554235.740078602</v>
      </c>
    </row>
    <row r="23" spans="2:15" ht="12.75">
      <c r="B23" s="18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12"/>
    </row>
    <row r="24" spans="2:15" ht="12.75">
      <c r="B24" s="210" t="s">
        <v>105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12"/>
    </row>
    <row r="25" spans="2:15" ht="12.75">
      <c r="B25" s="184" t="s">
        <v>106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12"/>
    </row>
    <row r="26" spans="2:15" ht="12.75">
      <c r="B26" s="188" t="s">
        <v>351</v>
      </c>
      <c r="C26" s="41">
        <f>IPOTEZE!$C$145+IPOTEZE!D40+IPOTEZE!C153+IPOTEZE!C149</f>
        <v>10162000</v>
      </c>
      <c r="D26" s="41">
        <f>C26+IPOTEZE!D145</f>
        <v>10162000</v>
      </c>
      <c r="E26" s="41">
        <f>D26+IPOTEZE!E145</f>
        <v>10187000</v>
      </c>
      <c r="F26" s="41">
        <f>E26+IPOTEZE!F145</f>
        <v>10187000</v>
      </c>
      <c r="G26" s="41">
        <f>F26+IPOTEZE!G145</f>
        <v>10187000</v>
      </c>
      <c r="H26" s="41">
        <f>G26+IPOTEZE!H145</f>
        <v>10187000</v>
      </c>
      <c r="I26" s="41">
        <f>H26+IPOTEZE!I145</f>
        <v>10187000</v>
      </c>
      <c r="J26" s="41">
        <f>I26+IPOTEZE!J145</f>
        <v>10187000</v>
      </c>
      <c r="K26" s="41">
        <f>J26+IPOTEZE!K145</f>
        <v>10187000</v>
      </c>
      <c r="L26" s="41">
        <f>K26+IPOTEZE!L145</f>
        <v>10187000</v>
      </c>
      <c r="M26" s="41">
        <f>L26+IPOTEZE!M145</f>
        <v>10187000</v>
      </c>
      <c r="N26" s="41">
        <f>M26+IPOTEZE!N145</f>
        <v>10187000</v>
      </c>
      <c r="O26" s="212">
        <f>N26</f>
        <v>10187000</v>
      </c>
    </row>
    <row r="27" spans="2:15" ht="12.75">
      <c r="B27" s="188" t="s">
        <v>352</v>
      </c>
      <c r="C27" s="41">
        <f>'Cont de Rezultat'!D36</f>
        <v>187362</v>
      </c>
      <c r="D27" s="41">
        <f>'Cont de Rezultat'!E36+C27</f>
        <v>445796.4</v>
      </c>
      <c r="E27" s="41">
        <f>'Cont de Rezultat'!F36+D27</f>
        <v>712798.8</v>
      </c>
      <c r="F27" s="41">
        <f>'Cont de Rezultat'!G36+E27</f>
        <v>946112.72</v>
      </c>
      <c r="G27" s="41">
        <f>'Cont de Rezultat'!H36+F27</f>
        <v>1206901.64</v>
      </c>
      <c r="H27" s="41">
        <f>'Cont de Rezultat'!I36+G27</f>
        <v>1464347.3599999999</v>
      </c>
      <c r="I27" s="41">
        <f>'Cont de Rezultat'!J36+H27</f>
        <v>1758204.4188799995</v>
      </c>
      <c r="J27" s="41">
        <f>'Cont de Rezultat'!K36+I27</f>
        <v>2062666.4777599992</v>
      </c>
      <c r="K27" s="41">
        <f>'Cont de Rezultat'!L36+J27</f>
        <v>2553039.113945599</v>
      </c>
      <c r="L27" s="41">
        <f>'Cont de Rezultat'!M36+K27</f>
        <v>3212203.6550911996</v>
      </c>
      <c r="M27" s="41">
        <f>'Cont de Rezultat'!N36+L27</f>
        <v>3939678.0462368</v>
      </c>
      <c r="N27" s="41">
        <f>'Cont de Rezultat'!O36+M27</f>
        <v>4662154.4373824</v>
      </c>
      <c r="O27" s="212">
        <f>'Cont de Rezultat'!P36</f>
        <v>4662154.437382401</v>
      </c>
    </row>
    <row r="28" spans="2:15" ht="25.5">
      <c r="B28" s="188" t="s">
        <v>353</v>
      </c>
      <c r="C28" s="41">
        <f>'Cont de Rezultat'!D38</f>
        <v>0</v>
      </c>
      <c r="D28" s="41">
        <f>'Cont de Rezultat'!E38</f>
        <v>0</v>
      </c>
      <c r="E28" s="41">
        <f>'Cont de Rezultat'!F38</f>
        <v>0</v>
      </c>
      <c r="F28" s="41">
        <f>'Cont de Rezultat'!G38</f>
        <v>0</v>
      </c>
      <c r="G28" s="41">
        <f>'Cont de Rezultat'!H38</f>
        <v>0</v>
      </c>
      <c r="H28" s="41">
        <f>'Cont de Rezultat'!I38</f>
        <v>0</v>
      </c>
      <c r="I28" s="41">
        <f>'Cont de Rezultat'!J38</f>
        <v>0</v>
      </c>
      <c r="J28" s="41">
        <f>'Cont de Rezultat'!K38</f>
        <v>0</v>
      </c>
      <c r="K28" s="41">
        <f>'Cont de Rezultat'!L38</f>
        <v>0</v>
      </c>
      <c r="L28" s="41">
        <f>'Cont de Rezultat'!M38</f>
        <v>0</v>
      </c>
      <c r="M28" s="41">
        <f>'Cont de Rezultat'!N38</f>
        <v>0</v>
      </c>
      <c r="N28" s="41">
        <f>'Cont de Rezultat'!O38</f>
        <v>699323.1656073601</v>
      </c>
      <c r="O28" s="212">
        <f>'Cont de Rezultat'!P38</f>
        <v>699323.1656073601</v>
      </c>
    </row>
    <row r="29" spans="2:15" ht="25.5">
      <c r="B29" s="188" t="s">
        <v>354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f>IF(N27&lt;=0,0,N27-N28)</f>
        <v>3962831.27177504</v>
      </c>
      <c r="O29" s="212">
        <f>N29</f>
        <v>3962831.27177504</v>
      </c>
    </row>
    <row r="30" spans="2:15" ht="12.75">
      <c r="B30" s="188" t="s">
        <v>355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f>N29+M30</f>
        <v>3962831.27177504</v>
      </c>
      <c r="O30" s="212">
        <f>N30</f>
        <v>3962831.27177504</v>
      </c>
    </row>
    <row r="31" spans="2:15" ht="12.75">
      <c r="B31" s="214" t="s">
        <v>107</v>
      </c>
      <c r="C31" s="41">
        <f aca="true" t="shared" si="3" ref="C31:M31">C30+C27+C26</f>
        <v>10349362</v>
      </c>
      <c r="D31" s="41">
        <f t="shared" si="3"/>
        <v>10607796.4</v>
      </c>
      <c r="E31" s="41">
        <f t="shared" si="3"/>
        <v>10899798.8</v>
      </c>
      <c r="F31" s="41">
        <f t="shared" si="3"/>
        <v>11133112.72</v>
      </c>
      <c r="G31" s="41">
        <f t="shared" si="3"/>
        <v>11393901.64</v>
      </c>
      <c r="H31" s="41">
        <f t="shared" si="3"/>
        <v>11651347.36</v>
      </c>
      <c r="I31" s="41">
        <f t="shared" si="3"/>
        <v>11945204.418879999</v>
      </c>
      <c r="J31" s="41">
        <f t="shared" si="3"/>
        <v>12249666.477759998</v>
      </c>
      <c r="K31" s="41">
        <f t="shared" si="3"/>
        <v>12740039.1139456</v>
      </c>
      <c r="L31" s="41">
        <f t="shared" si="3"/>
        <v>13399203.6550912</v>
      </c>
      <c r="M31" s="41">
        <f t="shared" si="3"/>
        <v>14126678.0462368</v>
      </c>
      <c r="N31" s="41">
        <f>IF(N27&gt;0,N26+N30,N26+N27)</f>
        <v>14149831.27177504</v>
      </c>
      <c r="O31" s="476">
        <f>IF(O27&gt;0,O26+O30,O26+O27)</f>
        <v>14149831.27177504</v>
      </c>
    </row>
    <row r="32" spans="2:15" ht="25.5">
      <c r="B32" s="184" t="s">
        <v>108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2"/>
    </row>
    <row r="33" spans="2:15" ht="12.75">
      <c r="B33" s="188" t="s">
        <v>357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2"/>
    </row>
    <row r="34" spans="2:15" ht="12.75">
      <c r="B34" s="188" t="s">
        <v>358</v>
      </c>
      <c r="C34" s="41">
        <f>'Flux de Numerar'!C17-'Flux de Numerar'!C18</f>
        <v>7500000</v>
      </c>
      <c r="D34" s="41">
        <f>C34+'Flux de Numerar'!D17-'Flux de Numerar'!D18</f>
        <v>7500000</v>
      </c>
      <c r="E34" s="41">
        <f>D34+'Flux de Numerar'!E17-'Flux de Numerar'!E18</f>
        <v>7500000</v>
      </c>
      <c r="F34" s="41">
        <f>E34+'Flux de Numerar'!F17-'Flux de Numerar'!F18</f>
        <v>7500000</v>
      </c>
      <c r="G34" s="41">
        <f>F34+'Flux de Numerar'!G17-'Flux de Numerar'!G18</f>
        <v>7500000</v>
      </c>
      <c r="H34" s="41">
        <f>G34+'Flux de Numerar'!H17-'Flux de Numerar'!H18</f>
        <v>7500000</v>
      </c>
      <c r="I34" s="41">
        <f>H34+'Flux de Numerar'!I17-'Flux de Numerar'!I18</f>
        <v>7250000</v>
      </c>
      <c r="J34" s="41">
        <f>I34+'Flux de Numerar'!J17-'Flux de Numerar'!J18</f>
        <v>7000000</v>
      </c>
      <c r="K34" s="41">
        <f>J34+'Flux de Numerar'!K17-'Flux de Numerar'!K18</f>
        <v>6750000</v>
      </c>
      <c r="L34" s="41">
        <f>K34+'Flux de Numerar'!L17-'Flux de Numerar'!L18</f>
        <v>6500000</v>
      </c>
      <c r="M34" s="41">
        <f>L34+'Flux de Numerar'!M17-'Flux de Numerar'!M18</f>
        <v>6250000</v>
      </c>
      <c r="N34" s="41">
        <f>M34+'Flux de Numerar'!N17-'Flux de Numerar'!N18</f>
        <v>6000000</v>
      </c>
      <c r="O34" s="212">
        <f>N34</f>
        <v>6000000</v>
      </c>
    </row>
    <row r="35" spans="2:15" ht="25.5">
      <c r="B35" s="213" t="s">
        <v>109</v>
      </c>
      <c r="C35" s="41">
        <f aca="true" t="shared" si="4" ref="C35:O35">C34+C33</f>
        <v>7500000</v>
      </c>
      <c r="D35" s="41">
        <f t="shared" si="4"/>
        <v>7500000</v>
      </c>
      <c r="E35" s="41">
        <f t="shared" si="4"/>
        <v>7500000</v>
      </c>
      <c r="F35" s="41">
        <f t="shared" si="4"/>
        <v>7500000</v>
      </c>
      <c r="G35" s="41">
        <f t="shared" si="4"/>
        <v>7500000</v>
      </c>
      <c r="H35" s="41">
        <f t="shared" si="4"/>
        <v>7500000</v>
      </c>
      <c r="I35" s="41">
        <f t="shared" si="4"/>
        <v>7250000</v>
      </c>
      <c r="J35" s="41">
        <f t="shared" si="4"/>
        <v>7000000</v>
      </c>
      <c r="K35" s="41">
        <f t="shared" si="4"/>
        <v>6750000</v>
      </c>
      <c r="L35" s="41">
        <f t="shared" si="4"/>
        <v>6500000</v>
      </c>
      <c r="M35" s="41">
        <f t="shared" si="4"/>
        <v>6250000</v>
      </c>
      <c r="N35" s="41">
        <f t="shared" si="4"/>
        <v>6000000</v>
      </c>
      <c r="O35" s="212">
        <f t="shared" si="4"/>
        <v>6000000</v>
      </c>
    </row>
    <row r="36" spans="2:15" ht="12.75">
      <c r="B36" s="184" t="s">
        <v>110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2"/>
    </row>
    <row r="37" spans="2:15" ht="12.75">
      <c r="B37" s="188" t="s">
        <v>339</v>
      </c>
      <c r="C37" s="41">
        <f>IPOTEZE!C155</f>
        <v>100000</v>
      </c>
      <c r="D37" s="41">
        <f>IPOTEZE!$D$155*IPOTEZE!D148</f>
        <v>105000</v>
      </c>
      <c r="E37" s="41">
        <f>IPOTEZE!$D$155*IPOTEZE!E148</f>
        <v>108150</v>
      </c>
      <c r="F37" s="41">
        <f>IPOTEZE!$D$155*IPOTEZE!F148</f>
        <v>112476</v>
      </c>
      <c r="G37" s="41">
        <f>IPOTEZE!$D$155*IPOTEZE!G148</f>
        <v>112476</v>
      </c>
      <c r="H37" s="41">
        <f>IPOTEZE!$D$155*IPOTEZE!H148</f>
        <v>123723.60000000002</v>
      </c>
      <c r="I37" s="41">
        <f>IPOTEZE!$D$155*IPOTEZE!I148</f>
        <v>128672.54400000001</v>
      </c>
      <c r="J37" s="41">
        <f>IPOTEZE!$D$155*IPOTEZE!J148</f>
        <v>128672.54400000001</v>
      </c>
      <c r="K37" s="41">
        <f>IPOTEZE!$D$155*IPOTEZE!K148</f>
        <v>144113.24928000005</v>
      </c>
      <c r="L37" s="41">
        <f>IPOTEZE!$D$155*IPOTEZE!L148</f>
        <v>144113.24928000005</v>
      </c>
      <c r="M37" s="41">
        <f>IPOTEZE!$D$155*IPOTEZE!M148</f>
        <v>144113.24928000005</v>
      </c>
      <c r="N37" s="41">
        <f>IPOTEZE!$D$155*IPOTEZE!N148</f>
        <v>144113.24928000005</v>
      </c>
      <c r="O37" s="212">
        <f>N37</f>
        <v>144113.24928000005</v>
      </c>
    </row>
    <row r="38" spans="2:15" ht="12.75">
      <c r="B38" s="188" t="s">
        <v>72</v>
      </c>
      <c r="C38" s="41">
        <f>'Cont de Rezultat'!D35</f>
        <v>35688</v>
      </c>
      <c r="D38" s="41">
        <f>C38+'Cont de Rezultat'!E35</f>
        <v>84913.6</v>
      </c>
      <c r="E38" s="41">
        <f>D38+'Cont de Rezultat'!F35</f>
        <v>135771.2</v>
      </c>
      <c r="F38" s="41">
        <f>'Cont de Rezultat'!G35</f>
        <v>44440.746666666644</v>
      </c>
      <c r="G38" s="41">
        <f>F38+'Cont de Rezultat'!H35</f>
        <v>94114.82666666663</v>
      </c>
      <c r="H38" s="41">
        <f>G38+'Cont de Rezultat'!I35</f>
        <v>143152.10666666663</v>
      </c>
      <c r="I38" s="41">
        <f>'Cont de Rezultat'!J35</f>
        <v>55972.77311999997</v>
      </c>
      <c r="J38" s="41">
        <f>I38+'Cont de Rezultat'!K35</f>
        <v>113965.54623999994</v>
      </c>
      <c r="K38" s="41">
        <f>J38+'Cont de Rezultat'!L35</f>
        <v>207369.8578943999</v>
      </c>
      <c r="L38" s="41">
        <f>'Cont de Rezultat'!M35</f>
        <v>125555.15069440007</v>
      </c>
      <c r="M38" s="41">
        <f>L38+'Cont de Rezultat'!N35</f>
        <v>264121.7013888003</v>
      </c>
      <c r="N38" s="41">
        <f>M38+'Cont de Rezultat'!O35</f>
        <v>401736.25208320026</v>
      </c>
      <c r="O38" s="212">
        <f>N38</f>
        <v>401736.25208320026</v>
      </c>
    </row>
    <row r="39" spans="2:15" ht="12.75">
      <c r="B39" s="188" t="s">
        <v>359</v>
      </c>
      <c r="C39" s="41">
        <f aca="true" t="shared" si="5" ref="C39:N39">C28</f>
        <v>0</v>
      </c>
      <c r="D39" s="41">
        <f t="shared" si="5"/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41">
        <f t="shared" si="5"/>
        <v>0</v>
      </c>
      <c r="L39" s="41">
        <f t="shared" si="5"/>
        <v>0</v>
      </c>
      <c r="M39" s="41">
        <f t="shared" si="5"/>
        <v>0</v>
      </c>
      <c r="N39" s="41">
        <f t="shared" si="5"/>
        <v>699323.1656073601</v>
      </c>
      <c r="O39" s="212">
        <f>N39</f>
        <v>699323.1656073601</v>
      </c>
    </row>
    <row r="40" spans="2:15" ht="12.75">
      <c r="B40" s="188" t="s">
        <v>340</v>
      </c>
      <c r="C40" s="41">
        <f>IPOTEZE!C156</f>
        <v>85000</v>
      </c>
      <c r="D40" s="41">
        <f>IPOTEZE!$D$156*'Cont de Rezultat'!E15</f>
        <v>99875</v>
      </c>
      <c r="E40" s="41">
        <f>IPOTEZE!$D$156*'Cont de Rezultat'!F15</f>
        <v>100879.0625</v>
      </c>
      <c r="F40" s="41">
        <f>IPOTEZE!$D$156*'Cont de Rezultat'!G15</f>
        <v>102257.97499999999</v>
      </c>
      <c r="G40" s="41">
        <f>IPOTEZE!$D$156*'Cont de Rezultat'!H15</f>
        <v>108898.59999999999</v>
      </c>
      <c r="H40" s="41">
        <f>IPOTEZE!$D$156*'Cont de Rezultat'!I15</f>
        <v>112483.7725</v>
      </c>
      <c r="I40" s="41">
        <f>IPOTEZE!$D$156*'Cont de Rezultat'!J15</f>
        <v>114061.2484</v>
      </c>
      <c r="J40" s="41">
        <f>IPOTEZE!$D$156*'Cont de Rezultat'!K15</f>
        <v>114061.2484</v>
      </c>
      <c r="K40" s="41">
        <f>IPOTEZE!$D$156*'Cont de Rezultat'!L15</f>
        <v>118982.97320800001</v>
      </c>
      <c r="L40" s="41">
        <f>IPOTEZE!$D$156*'Cont de Rezultat'!M15</f>
        <v>126287.66070800002</v>
      </c>
      <c r="M40" s="41">
        <f>IPOTEZE!$D$156*'Cont de Rezultat'!N15</f>
        <v>159231.801333</v>
      </c>
      <c r="N40" s="41">
        <f>IPOTEZE!$D$156*'Cont de Rezultat'!O15</f>
        <v>159231.801333</v>
      </c>
      <c r="O40" s="212">
        <f>N40</f>
        <v>159231.801333</v>
      </c>
    </row>
    <row r="41" spans="2:15" ht="12.75">
      <c r="B41" s="213" t="s">
        <v>111</v>
      </c>
      <c r="C41" s="41">
        <f aca="true" t="shared" si="6" ref="C41:N41">C40+C39+C38+C37</f>
        <v>220688</v>
      </c>
      <c r="D41" s="41">
        <f t="shared" si="6"/>
        <v>289788.6</v>
      </c>
      <c r="E41" s="41">
        <f t="shared" si="6"/>
        <v>344800.2625</v>
      </c>
      <c r="F41" s="41">
        <f t="shared" si="6"/>
        <v>259174.72166666662</v>
      </c>
      <c r="G41" s="41">
        <f t="shared" si="6"/>
        <v>315489.42666666664</v>
      </c>
      <c r="H41" s="41">
        <f t="shared" si="6"/>
        <v>379359.4791666667</v>
      </c>
      <c r="I41" s="41">
        <f t="shared" si="6"/>
        <v>298706.56551999995</v>
      </c>
      <c r="J41" s="41">
        <f t="shared" si="6"/>
        <v>356699.3386399999</v>
      </c>
      <c r="K41" s="41">
        <f t="shared" si="6"/>
        <v>470466.08038239996</v>
      </c>
      <c r="L41" s="41">
        <f t="shared" si="6"/>
        <v>395956.06068240013</v>
      </c>
      <c r="M41" s="41">
        <f t="shared" si="6"/>
        <v>567466.7520018003</v>
      </c>
      <c r="N41" s="41">
        <f t="shared" si="6"/>
        <v>1404404.4683035605</v>
      </c>
      <c r="O41" s="212">
        <f>N41</f>
        <v>1404404.4683035605</v>
      </c>
    </row>
    <row r="42" spans="2:15" ht="12.75">
      <c r="B42" s="197" t="s">
        <v>112</v>
      </c>
      <c r="C42" s="170">
        <f aca="true" t="shared" si="7" ref="C42:O42">C41+C35+C31</f>
        <v>18070050</v>
      </c>
      <c r="D42" s="170">
        <f t="shared" si="7"/>
        <v>18397585</v>
      </c>
      <c r="E42" s="170">
        <f t="shared" si="7"/>
        <v>18744599.0625</v>
      </c>
      <c r="F42" s="170">
        <f t="shared" si="7"/>
        <v>18892287.441666666</v>
      </c>
      <c r="G42" s="170">
        <f t="shared" si="7"/>
        <v>19209391.066666666</v>
      </c>
      <c r="H42" s="170">
        <f t="shared" si="7"/>
        <v>19530706.839166667</v>
      </c>
      <c r="I42" s="170">
        <f t="shared" si="7"/>
        <v>19493910.984399997</v>
      </c>
      <c r="J42" s="170">
        <f t="shared" si="7"/>
        <v>19606365.8164</v>
      </c>
      <c r="K42" s="170">
        <f t="shared" si="7"/>
        <v>19960505.194328</v>
      </c>
      <c r="L42" s="170">
        <f t="shared" si="7"/>
        <v>20295159.7157736</v>
      </c>
      <c r="M42" s="170">
        <f t="shared" si="7"/>
        <v>20944144.7982386</v>
      </c>
      <c r="N42" s="170">
        <f t="shared" si="7"/>
        <v>21554235.740078602</v>
      </c>
      <c r="O42" s="215">
        <f t="shared" si="7"/>
        <v>21554235.740078602</v>
      </c>
    </row>
    <row r="43" spans="2:15" ht="18.75" thickBot="1">
      <c r="B43" s="216" t="s">
        <v>97</v>
      </c>
      <c r="C43" s="199">
        <f aca="true" t="shared" si="8" ref="C43:O43">C22-C42</f>
        <v>0</v>
      </c>
      <c r="D43" s="199">
        <f t="shared" si="8"/>
        <v>0</v>
      </c>
      <c r="E43" s="199">
        <f t="shared" si="8"/>
        <v>0</v>
      </c>
      <c r="F43" s="199">
        <f t="shared" si="8"/>
        <v>0</v>
      </c>
      <c r="G43" s="199">
        <f t="shared" si="8"/>
        <v>0</v>
      </c>
      <c r="H43" s="199">
        <f t="shared" si="8"/>
        <v>0</v>
      </c>
      <c r="I43" s="199">
        <f t="shared" si="8"/>
        <v>0</v>
      </c>
      <c r="J43" s="199">
        <f t="shared" si="8"/>
        <v>0</v>
      </c>
      <c r="K43" s="199">
        <f t="shared" si="8"/>
        <v>0</v>
      </c>
      <c r="L43" s="199">
        <f t="shared" si="8"/>
        <v>0</v>
      </c>
      <c r="M43" s="199">
        <f t="shared" si="8"/>
        <v>0</v>
      </c>
      <c r="N43" s="199">
        <f t="shared" si="8"/>
        <v>0</v>
      </c>
      <c r="O43" s="200">
        <f t="shared" si="8"/>
        <v>0</v>
      </c>
    </row>
    <row r="44" spans="2:15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23.25">
      <c r="B71" s="217" t="s">
        <v>256</v>
      </c>
      <c r="C71" s="53"/>
      <c r="D71" s="218"/>
      <c r="E71" s="218"/>
      <c r="F71" s="218"/>
      <c r="G71" s="2"/>
      <c r="H71" s="2"/>
      <c r="I71" s="2"/>
      <c r="J71" s="2"/>
      <c r="K71" s="2"/>
      <c r="L71" s="2"/>
      <c r="M71" s="2"/>
      <c r="N71" s="2"/>
      <c r="O71" s="2"/>
    </row>
    <row r="72" spans="2:15" ht="13.5" thickBot="1">
      <c r="B72" s="4"/>
      <c r="C72" s="4"/>
      <c r="D72" s="4"/>
      <c r="E72" s="4"/>
      <c r="F72" s="4"/>
      <c r="G72" s="4"/>
      <c r="H72" s="2"/>
      <c r="I72" s="2"/>
      <c r="J72" s="2"/>
      <c r="K72" s="2"/>
      <c r="L72" s="2"/>
      <c r="M72" s="2"/>
      <c r="N72" s="2"/>
      <c r="O72" s="2"/>
    </row>
    <row r="73" spans="2:15" ht="26.25" customHeight="1">
      <c r="B73" s="385" t="s">
        <v>113</v>
      </c>
      <c r="C73" s="386" t="s">
        <v>114</v>
      </c>
      <c r="D73" s="386" t="s">
        <v>115</v>
      </c>
      <c r="E73" s="386" t="s">
        <v>116</v>
      </c>
      <c r="F73" s="386" t="s">
        <v>117</v>
      </c>
      <c r="G73" s="386" t="s">
        <v>118</v>
      </c>
      <c r="H73" s="28"/>
      <c r="I73" s="2"/>
      <c r="J73" s="2"/>
      <c r="K73" s="2"/>
      <c r="L73" s="2"/>
      <c r="M73" s="2"/>
      <c r="N73" s="2"/>
      <c r="O73" s="2"/>
    </row>
    <row r="74" spans="1:15" ht="12.75">
      <c r="A74" s="28"/>
      <c r="B74" s="210" t="s">
        <v>100</v>
      </c>
      <c r="C74" s="4"/>
      <c r="D74" s="4"/>
      <c r="E74" s="4"/>
      <c r="F74" s="4"/>
      <c r="G74" s="228"/>
      <c r="H74" s="4"/>
      <c r="I74" s="2"/>
      <c r="J74" s="2"/>
      <c r="K74" s="2"/>
      <c r="L74" s="2"/>
      <c r="M74" s="2"/>
      <c r="N74" s="2"/>
      <c r="O74" s="2"/>
    </row>
    <row r="75" spans="1:15" ht="12.75">
      <c r="A75" s="9"/>
      <c r="B75" s="184" t="s">
        <v>101</v>
      </c>
      <c r="C75" s="4"/>
      <c r="D75" s="4"/>
      <c r="E75" s="4"/>
      <c r="F75" s="4"/>
      <c r="G75" s="228"/>
      <c r="H75" s="4"/>
      <c r="I75" s="2"/>
      <c r="J75" s="2"/>
      <c r="K75" s="2"/>
      <c r="L75" s="2"/>
      <c r="M75" s="2"/>
      <c r="N75" s="2"/>
      <c r="O75" s="2"/>
    </row>
    <row r="76" spans="1:15" ht="12.75">
      <c r="A76" s="9"/>
      <c r="B76" s="188" t="s">
        <v>345</v>
      </c>
      <c r="C76" s="172">
        <f>O13</f>
        <v>17567000</v>
      </c>
      <c r="D76" s="172">
        <f>C76+IPOTEZE!D54</f>
        <v>17567000</v>
      </c>
      <c r="E76" s="172">
        <f>D76+IPOTEZE!D55</f>
        <v>17567000</v>
      </c>
      <c r="F76" s="172">
        <f>E76+IPOTEZE!D56</f>
        <v>20867000</v>
      </c>
      <c r="G76" s="172">
        <f>F76+IPOTEZE!D57</f>
        <v>23617000</v>
      </c>
      <c r="H76" s="4"/>
      <c r="I76" s="2"/>
      <c r="J76" s="2"/>
      <c r="K76" s="2"/>
      <c r="L76" s="2"/>
      <c r="M76" s="2"/>
      <c r="N76" s="2"/>
      <c r="O76" s="2"/>
    </row>
    <row r="77" spans="1:15" ht="12.75">
      <c r="A77" s="9"/>
      <c r="B77" s="188" t="s">
        <v>346</v>
      </c>
      <c r="C77" s="172">
        <f>O14</f>
        <v>433500</v>
      </c>
      <c r="D77" s="172">
        <f>IPOTEZE!G54</f>
        <v>869000</v>
      </c>
      <c r="E77" s="172">
        <f>IPOTEZE!G55</f>
        <v>1304500</v>
      </c>
      <c r="F77" s="172">
        <f>IPOTEZE!G56</f>
        <v>1765000</v>
      </c>
      <c r="G77" s="172">
        <f>IPOTEZE!G57</f>
        <v>2257500</v>
      </c>
      <c r="H77" s="4"/>
      <c r="I77" s="2"/>
      <c r="J77" s="2"/>
      <c r="K77" s="2"/>
      <c r="L77" s="2"/>
      <c r="M77" s="2"/>
      <c r="N77" s="2"/>
      <c r="O77" s="2"/>
    </row>
    <row r="78" spans="1:15" ht="12.75">
      <c r="A78" s="9"/>
      <c r="B78" s="188" t="s">
        <v>356</v>
      </c>
      <c r="C78" s="173">
        <f>O15</f>
        <v>17133500</v>
      </c>
      <c r="D78" s="173">
        <f>D76-D77</f>
        <v>16698000</v>
      </c>
      <c r="E78" s="173">
        <f>E76-E77</f>
        <v>16262500</v>
      </c>
      <c r="F78" s="173">
        <f>F76-F77</f>
        <v>19102000</v>
      </c>
      <c r="G78" s="189">
        <f>G76-G77</f>
        <v>21359500</v>
      </c>
      <c r="H78" s="4"/>
      <c r="I78" s="2"/>
      <c r="J78" s="2"/>
      <c r="K78" s="2"/>
      <c r="L78" s="2"/>
      <c r="M78" s="2"/>
      <c r="N78" s="2"/>
      <c r="O78" s="2"/>
    </row>
    <row r="79" spans="1:15" ht="14.25" customHeight="1">
      <c r="A79" s="9"/>
      <c r="B79" s="184" t="s">
        <v>102</v>
      </c>
      <c r="C79" s="41"/>
      <c r="D79" s="41"/>
      <c r="E79" s="41"/>
      <c r="F79" s="41"/>
      <c r="G79" s="190"/>
      <c r="H79" s="4"/>
      <c r="I79" s="2"/>
      <c r="J79" s="2"/>
      <c r="K79" s="2"/>
      <c r="L79" s="2"/>
      <c r="M79" s="2"/>
      <c r="N79" s="2"/>
      <c r="O79" s="2"/>
    </row>
    <row r="80" spans="1:15" ht="12.75">
      <c r="A80" s="9"/>
      <c r="B80" s="188" t="s">
        <v>347</v>
      </c>
      <c r="C80" s="41">
        <f>O17</f>
        <v>655660.35843</v>
      </c>
      <c r="D80" s="41">
        <f>IPOTEZE!C163*'Cont de Rezultat'!E55</f>
        <v>499955.0290899501</v>
      </c>
      <c r="E80" s="41">
        <f>IPOTEZE!D163*'Cont de Rezultat'!F55</f>
        <v>519947.1150233116</v>
      </c>
      <c r="F80" s="41">
        <f>IPOTEZE!E163*'Cont de Rezultat'!G55</f>
        <v>554828.8714351059</v>
      </c>
      <c r="G80" s="190">
        <f>IPOTEZE!F163*'Cont de Rezultat'!H55</f>
        <v>577362.4205986714</v>
      </c>
      <c r="H80" s="4"/>
      <c r="I80" s="2"/>
      <c r="J80" s="2"/>
      <c r="K80" s="2"/>
      <c r="L80" s="2"/>
      <c r="M80" s="2"/>
      <c r="N80" s="2"/>
      <c r="O80" s="2"/>
    </row>
    <row r="81" spans="1:15" ht="12.75">
      <c r="A81" s="9"/>
      <c r="B81" s="188" t="s">
        <v>348</v>
      </c>
      <c r="C81" s="41">
        <f>O18</f>
        <v>468328.82745000004</v>
      </c>
      <c r="D81" s="41">
        <f>IPOTEZE!C164*IPOTEZE!C162/12</f>
        <v>214266.44103855002</v>
      </c>
      <c r="E81" s="41">
        <f>IPOTEZE!D164*IPOTEZE!D162/12</f>
        <v>297112.63715617807</v>
      </c>
      <c r="F81" s="41">
        <f>IPOTEZE!E164*IPOTEZE!E162/12</f>
        <v>317045.06939148915</v>
      </c>
      <c r="G81" s="41">
        <f>IPOTEZE!F164*IPOTEZE!F162/12</f>
        <v>412401.728999051</v>
      </c>
      <c r="H81" s="4"/>
      <c r="I81" s="2"/>
      <c r="J81" s="2"/>
      <c r="K81" s="2"/>
      <c r="L81" s="2"/>
      <c r="M81" s="2"/>
      <c r="N81" s="2"/>
      <c r="O81" s="2"/>
    </row>
    <row r="82" spans="1:15" ht="12.75">
      <c r="A82" s="9"/>
      <c r="B82" s="188" t="s">
        <v>349</v>
      </c>
      <c r="C82" s="221">
        <f>O19</f>
        <v>104905.65734880001</v>
      </c>
      <c r="D82" s="41">
        <f>IPOTEZE!C165*'Cont de Rezultat'!E55</f>
        <v>959913.6558527042</v>
      </c>
      <c r="E82" s="41">
        <f>IPOTEZE!D165*'Cont de Rezultat'!F55</f>
        <v>998298.4608447582</v>
      </c>
      <c r="F82" s="41">
        <f>IPOTEZE!E165*'Cont de Rezultat'!G55</f>
        <v>1065271.4331554035</v>
      </c>
      <c r="G82" s="190">
        <f>IPOTEZE!F165*'Cont de Rezultat'!H55</f>
        <v>1108535.8475494492</v>
      </c>
      <c r="H82" s="4"/>
      <c r="I82" s="2"/>
      <c r="J82" s="2"/>
      <c r="K82" s="2"/>
      <c r="L82" s="2"/>
      <c r="M82" s="2"/>
      <c r="N82" s="2"/>
      <c r="O82" s="2"/>
    </row>
    <row r="83" spans="1:15" ht="12.75">
      <c r="A83" s="9"/>
      <c r="B83" s="188" t="s">
        <v>350</v>
      </c>
      <c r="C83" s="221">
        <f>O20</f>
        <v>3191840.896849801</v>
      </c>
      <c r="D83" s="41">
        <f>'Flux de Numerar'!D79</f>
        <v>3633115.80410794</v>
      </c>
      <c r="E83" s="41">
        <f>'Flux de Numerar'!E79</f>
        <v>4752731.673888368</v>
      </c>
      <c r="F83" s="41">
        <f>'Flux de Numerar'!F79</f>
        <v>3791601.714514668</v>
      </c>
      <c r="G83" s="190">
        <f>'Flux de Numerar'!G79</f>
        <v>7423130.022851073</v>
      </c>
      <c r="H83" s="84"/>
      <c r="I83" s="2"/>
      <c r="J83" s="2"/>
      <c r="K83" s="2"/>
      <c r="L83" s="2"/>
      <c r="M83" s="2"/>
      <c r="N83" s="2"/>
      <c r="O83" s="2"/>
    </row>
    <row r="84" spans="1:15" ht="12.75">
      <c r="A84" s="9"/>
      <c r="B84" s="213" t="s">
        <v>103</v>
      </c>
      <c r="C84" s="222">
        <f>SUM(C80:C83)</f>
        <v>4420735.740078601</v>
      </c>
      <c r="D84" s="219">
        <f>SUM(D80:D83)</f>
        <v>5307250.930089144</v>
      </c>
      <c r="E84" s="219">
        <f>SUM(E80:E83)</f>
        <v>6568089.886912616</v>
      </c>
      <c r="F84" s="219">
        <f>SUM(F80:F83)</f>
        <v>5728747.088496666</v>
      </c>
      <c r="G84" s="229">
        <f>SUM(G80:G83)</f>
        <v>9521430.019998245</v>
      </c>
      <c r="H84" s="4"/>
      <c r="I84" s="2"/>
      <c r="J84" s="2"/>
      <c r="K84" s="2"/>
      <c r="L84" s="2"/>
      <c r="M84" s="2"/>
      <c r="N84" s="2"/>
      <c r="O84" s="2"/>
    </row>
    <row r="85" spans="1:16" ht="12.75">
      <c r="A85" s="26"/>
      <c r="B85" s="184" t="s">
        <v>104</v>
      </c>
      <c r="C85" s="223">
        <f>C84+C78</f>
        <v>21554235.740078602</v>
      </c>
      <c r="D85" s="220">
        <f>D84+D78</f>
        <v>22005250.930089146</v>
      </c>
      <c r="E85" s="220">
        <f>E84+E78</f>
        <v>22830589.886912614</v>
      </c>
      <c r="F85" s="220">
        <f>F84+F78</f>
        <v>24830747.088496666</v>
      </c>
      <c r="G85" s="230">
        <f>G84+G78</f>
        <v>30880930.019998245</v>
      </c>
      <c r="H85" s="26"/>
      <c r="I85" s="20"/>
      <c r="J85" s="20"/>
      <c r="K85" s="20"/>
      <c r="L85" s="20"/>
      <c r="M85" s="20"/>
      <c r="N85" s="20"/>
      <c r="O85" s="20"/>
      <c r="P85" s="20"/>
    </row>
    <row r="86" spans="1:15" ht="12.75">
      <c r="A86" s="26"/>
      <c r="B86" s="184"/>
      <c r="C86" s="84"/>
      <c r="D86" s="84"/>
      <c r="E86" s="84"/>
      <c r="F86" s="84"/>
      <c r="G86" s="231"/>
      <c r="H86" s="4"/>
      <c r="I86" s="2"/>
      <c r="J86" s="2"/>
      <c r="K86" s="2"/>
      <c r="L86" s="2"/>
      <c r="M86" s="2"/>
      <c r="N86" s="2"/>
      <c r="O86" s="2"/>
    </row>
    <row r="87" spans="1:15" ht="12.75">
      <c r="A87" s="28"/>
      <c r="B87" s="210" t="s">
        <v>105</v>
      </c>
      <c r="C87" s="84"/>
      <c r="D87" s="84"/>
      <c r="E87" s="84"/>
      <c r="F87" s="84"/>
      <c r="G87" s="231"/>
      <c r="H87" s="4"/>
      <c r="I87" s="2"/>
      <c r="J87" s="2"/>
      <c r="K87" s="2"/>
      <c r="L87" s="2"/>
      <c r="M87" s="2"/>
      <c r="N87" s="2"/>
      <c r="O87" s="2"/>
    </row>
    <row r="88" spans="1:15" ht="12.75">
      <c r="A88" s="26"/>
      <c r="B88" s="184" t="s">
        <v>106</v>
      </c>
      <c r="C88" s="84"/>
      <c r="D88" s="84"/>
      <c r="E88" s="84"/>
      <c r="F88" s="84"/>
      <c r="G88" s="231"/>
      <c r="H88" s="4"/>
      <c r="I88" s="2"/>
      <c r="J88" s="2"/>
      <c r="K88" s="2"/>
      <c r="L88" s="2"/>
      <c r="M88" s="2"/>
      <c r="N88" s="2"/>
      <c r="O88" s="2"/>
    </row>
    <row r="89" spans="2:15" ht="12.75">
      <c r="B89" s="188" t="s">
        <v>351</v>
      </c>
      <c r="C89" s="224">
        <f aca="true" t="shared" si="9" ref="C89:C94">O26</f>
        <v>10187000</v>
      </c>
      <c r="D89" s="172">
        <f>C89+IPOTEZE!C168-IPOTEZE!C171</f>
        <v>10187000</v>
      </c>
      <c r="E89" s="172">
        <f>D89+IPOTEZE!D168-IPOTEZE!D171</f>
        <v>9937000</v>
      </c>
      <c r="F89" s="172">
        <f>E89+IPOTEZE!E168-IPOTEZE!E171</f>
        <v>9937000</v>
      </c>
      <c r="G89" s="187">
        <f>F89+IPOTEZE!F168-IPOTEZE!F171</f>
        <v>9937000</v>
      </c>
      <c r="H89" s="4"/>
      <c r="I89" s="2"/>
      <c r="J89" s="2"/>
      <c r="K89" s="2"/>
      <c r="L89" s="2"/>
      <c r="M89" s="2"/>
      <c r="N89" s="2"/>
      <c r="O89" s="2"/>
    </row>
    <row r="90" spans="2:15" ht="12.75">
      <c r="B90" s="188" t="s">
        <v>352</v>
      </c>
      <c r="C90" s="225">
        <f t="shared" si="9"/>
        <v>4662154.437382401</v>
      </c>
      <c r="D90" s="173">
        <f>'Cont de Rezultat'!E76</f>
        <v>4446010.41861245</v>
      </c>
      <c r="E90" s="173">
        <f>'Cont de Rezultat'!F76</f>
        <v>5097566.113392096</v>
      </c>
      <c r="F90" s="173">
        <f>'Cont de Rezultat'!G76</f>
        <v>5754530.286233589</v>
      </c>
      <c r="G90" s="189">
        <f>'Cont de Rezultat'!H76</f>
        <v>6002735.035772575</v>
      </c>
      <c r="H90" s="4"/>
      <c r="I90" s="2"/>
      <c r="J90" s="2"/>
      <c r="K90" s="2"/>
      <c r="L90" s="2"/>
      <c r="M90" s="2"/>
      <c r="N90" s="2"/>
      <c r="O90" s="2"/>
    </row>
    <row r="91" spans="2:15" ht="25.5">
      <c r="B91" s="188" t="s">
        <v>353</v>
      </c>
      <c r="C91" s="221">
        <f t="shared" si="9"/>
        <v>699323.1656073601</v>
      </c>
      <c r="D91" s="41">
        <f>'Cont de Rezultat'!E78</f>
        <v>1111502.6046531126</v>
      </c>
      <c r="E91" s="41">
        <f>'Cont de Rezultat'!F78</f>
        <v>3823174.585044072</v>
      </c>
      <c r="F91" s="41">
        <f>'Cont de Rezultat'!G78</f>
        <v>0</v>
      </c>
      <c r="G91" s="190">
        <f>'Cont de Rezultat'!H78</f>
        <v>6002735.035772575</v>
      </c>
      <c r="H91" s="4"/>
      <c r="I91" s="2"/>
      <c r="J91" s="2"/>
      <c r="K91" s="2"/>
      <c r="L91" s="2"/>
      <c r="M91" s="2"/>
      <c r="N91" s="2"/>
      <c r="O91" s="2"/>
    </row>
    <row r="92" spans="2:15" ht="25.5">
      <c r="B92" s="188" t="s">
        <v>373</v>
      </c>
      <c r="C92" s="222">
        <f t="shared" si="9"/>
        <v>3962831.27177504</v>
      </c>
      <c r="D92" s="219">
        <f>D90-D91</f>
        <v>3334507.813959338</v>
      </c>
      <c r="E92" s="219">
        <f>E90-E91</f>
        <v>1274391.528348024</v>
      </c>
      <c r="F92" s="219">
        <f>F90-F91</f>
        <v>5754530.286233589</v>
      </c>
      <c r="G92" s="229">
        <f>G90-G91</f>
        <v>0</v>
      </c>
      <c r="H92" s="4"/>
      <c r="I92" s="2"/>
      <c r="J92" s="2"/>
      <c r="K92" s="2"/>
      <c r="L92" s="2"/>
      <c r="M92" s="2"/>
      <c r="N92" s="2"/>
      <c r="O92" s="2"/>
    </row>
    <row r="93" spans="2:15" ht="12.75">
      <c r="B93" s="188" t="s">
        <v>355</v>
      </c>
      <c r="C93" s="224">
        <f t="shared" si="9"/>
        <v>3962831.27177504</v>
      </c>
      <c r="D93" s="172">
        <f>IF(C90&lt;0,C90+C93+D92,D92+C93)</f>
        <v>7297339.085734378</v>
      </c>
      <c r="E93" s="172">
        <f>IF(D90&lt;0,D90+D93+E92,E92+D93)</f>
        <v>8571730.614082402</v>
      </c>
      <c r="F93" s="172">
        <f>IF(E90&lt;0,E90+E93+F92,F92+E93)</f>
        <v>14326260.90031599</v>
      </c>
      <c r="G93" s="172">
        <f>IF(F90&lt;0,F90+F93+G92,G92+F93)</f>
        <v>14326260.90031599</v>
      </c>
      <c r="H93" s="4"/>
      <c r="I93" s="2"/>
      <c r="J93" s="2"/>
      <c r="K93" s="2"/>
      <c r="L93" s="2"/>
      <c r="M93" s="2"/>
      <c r="N93" s="2"/>
      <c r="O93" s="2"/>
    </row>
    <row r="94" spans="1:15" ht="12.75">
      <c r="A94" s="9"/>
      <c r="B94" s="214" t="s">
        <v>107</v>
      </c>
      <c r="C94" s="224">
        <f t="shared" si="9"/>
        <v>14149831.27177504</v>
      </c>
      <c r="D94" s="172">
        <f>D89+D93</f>
        <v>17484339.08573438</v>
      </c>
      <c r="E94" s="172">
        <f>E89+E93</f>
        <v>18508730.614082403</v>
      </c>
      <c r="F94" s="172">
        <f>F89+F93</f>
        <v>24263260.900315993</v>
      </c>
      <c r="G94" s="187">
        <f>G89+G93</f>
        <v>24263260.900315993</v>
      </c>
      <c r="H94" s="84"/>
      <c r="I94" s="2"/>
      <c r="J94" s="2"/>
      <c r="K94" s="2"/>
      <c r="L94" s="2"/>
      <c r="M94" s="2"/>
      <c r="N94" s="2"/>
      <c r="O94" s="2"/>
    </row>
    <row r="95" spans="1:15" ht="25.5">
      <c r="A95" s="26"/>
      <c r="B95" s="184" t="s">
        <v>108</v>
      </c>
      <c r="C95" s="84"/>
      <c r="D95" s="84"/>
      <c r="E95" s="84"/>
      <c r="F95" s="84"/>
      <c r="G95" s="231"/>
      <c r="H95" s="4"/>
      <c r="I95" s="2"/>
      <c r="J95" s="2"/>
      <c r="K95" s="2"/>
      <c r="L95" s="2"/>
      <c r="M95" s="2"/>
      <c r="N95" s="2"/>
      <c r="O95" s="2"/>
    </row>
    <row r="96" spans="2:15" ht="12.75">
      <c r="B96" s="188" t="s">
        <v>357</v>
      </c>
      <c r="C96" s="172">
        <f>O33</f>
        <v>0</v>
      </c>
      <c r="D96" s="172">
        <v>0</v>
      </c>
      <c r="E96" s="172">
        <v>0</v>
      </c>
      <c r="F96" s="172">
        <v>0</v>
      </c>
      <c r="G96" s="187">
        <v>0</v>
      </c>
      <c r="H96" s="4"/>
      <c r="I96" s="2"/>
      <c r="J96" s="2"/>
      <c r="K96" s="2"/>
      <c r="L96" s="2"/>
      <c r="M96" s="2"/>
      <c r="N96" s="2"/>
      <c r="O96" s="2"/>
    </row>
    <row r="97" spans="2:15" ht="12.75">
      <c r="B97" s="188" t="s">
        <v>358</v>
      </c>
      <c r="C97" s="226">
        <f>O34</f>
        <v>6000000</v>
      </c>
      <c r="D97" s="227">
        <f>C97+'Flux de Numerar'!D70-'Flux de Numerar'!D71</f>
        <v>3000000</v>
      </c>
      <c r="E97" s="227">
        <f>D97+'Flux de Numerar'!E70-'Flux de Numerar'!E71</f>
        <v>0</v>
      </c>
      <c r="F97" s="227">
        <f>E97+'Flux de Numerar'!F70-'Flux de Numerar'!F71</f>
        <v>0</v>
      </c>
      <c r="G97" s="232">
        <f>F97+'Flux de Numerar'!G70-'Flux de Numerar'!G71</f>
        <v>0</v>
      </c>
      <c r="H97" s="4"/>
      <c r="I97" s="2"/>
      <c r="J97" s="2"/>
      <c r="K97" s="2"/>
      <c r="L97" s="2"/>
      <c r="M97" s="2"/>
      <c r="N97" s="2"/>
      <c r="O97" s="2"/>
    </row>
    <row r="98" spans="2:15" ht="25.5">
      <c r="B98" s="213" t="s">
        <v>109</v>
      </c>
      <c r="C98" s="172">
        <f>SUM(C96:C97)</f>
        <v>6000000</v>
      </c>
      <c r="D98" s="172">
        <f>SUM(D96:D97)</f>
        <v>3000000</v>
      </c>
      <c r="E98" s="172">
        <f>SUM(E96:E97)</f>
        <v>0</v>
      </c>
      <c r="F98" s="172">
        <f>SUM(F96:F97)</f>
        <v>0</v>
      </c>
      <c r="G98" s="187">
        <f>SUM(G96:G97)</f>
        <v>0</v>
      </c>
      <c r="H98" s="4"/>
      <c r="I98" s="2"/>
      <c r="J98" s="2"/>
      <c r="K98" s="2"/>
      <c r="L98" s="2"/>
      <c r="M98" s="2"/>
      <c r="N98" s="2"/>
      <c r="O98" s="2"/>
    </row>
    <row r="99" spans="1:15" ht="12.75">
      <c r="A99" s="26"/>
      <c r="B99" s="184" t="s">
        <v>110</v>
      </c>
      <c r="C99" s="84"/>
      <c r="D99" s="84"/>
      <c r="E99" s="84"/>
      <c r="F99" s="84"/>
      <c r="G99" s="231"/>
      <c r="H99" s="4"/>
      <c r="I99" s="2"/>
      <c r="J99" s="2"/>
      <c r="K99" s="2"/>
      <c r="L99" s="2"/>
      <c r="M99" s="2"/>
      <c r="N99" s="2"/>
      <c r="O99" s="2"/>
    </row>
    <row r="100" spans="2:15" ht="12.75">
      <c r="B100" s="188" t="s">
        <v>339</v>
      </c>
      <c r="C100" s="172">
        <f>O37</f>
        <v>144113.24928000005</v>
      </c>
      <c r="D100" s="172">
        <f>IPOTEZE!C169*IPOTEZE!C167/12</f>
        <v>76276.80794112002</v>
      </c>
      <c r="E100" s="172">
        <f>IPOTEZE!D169*IPOTEZE!D167/12</f>
        <v>129670.57349990403</v>
      </c>
      <c r="F100" s="172">
        <f>IPOTEZE!E169*IPOTEZE!E167/12</f>
        <v>158716.78196388253</v>
      </c>
      <c r="G100" s="172">
        <f>IPOTEZE!F169*IPOTEZE!F167/12</f>
        <v>188872.9705370202</v>
      </c>
      <c r="H100" s="4"/>
      <c r="I100" s="2"/>
      <c r="J100" s="2"/>
      <c r="K100" s="2"/>
      <c r="L100" s="2"/>
      <c r="M100" s="2"/>
      <c r="N100" s="2"/>
      <c r="O100" s="2"/>
    </row>
    <row r="101" spans="2:15" ht="12.75">
      <c r="B101" s="188" t="s">
        <v>72</v>
      </c>
      <c r="C101" s="172">
        <f>O38</f>
        <v>401736.25208320026</v>
      </c>
      <c r="D101" s="172">
        <f>'Flux de Numerar'!D56</f>
        <v>211714.78183868813</v>
      </c>
      <c r="E101" s="172">
        <f>'Flux de Numerar'!E56</f>
        <v>242741.2434948617</v>
      </c>
      <c r="F101" s="172">
        <f>'Flux de Numerar'!F56</f>
        <v>274025.25172540906</v>
      </c>
      <c r="G101" s="187">
        <f>'Flux de Numerar'!G56</f>
        <v>285844.5255129797</v>
      </c>
      <c r="H101" s="4"/>
      <c r="I101" s="2"/>
      <c r="J101" s="2"/>
      <c r="K101" s="2"/>
      <c r="L101" s="2"/>
      <c r="M101" s="2"/>
      <c r="N101" s="2"/>
      <c r="O101" s="2"/>
    </row>
    <row r="102" spans="2:15" ht="12.75">
      <c r="B102" s="188" t="s">
        <v>359</v>
      </c>
      <c r="C102" s="225">
        <f>O39</f>
        <v>699323.1656073601</v>
      </c>
      <c r="D102" s="173">
        <f>D91</f>
        <v>1111502.6046531126</v>
      </c>
      <c r="E102" s="173">
        <f>E91</f>
        <v>3823174.585044072</v>
      </c>
      <c r="F102" s="173">
        <f>F91</f>
        <v>0</v>
      </c>
      <c r="G102" s="189">
        <f>G91</f>
        <v>6002735.035772575</v>
      </c>
      <c r="H102" s="4"/>
      <c r="I102" s="2"/>
      <c r="J102" s="2"/>
      <c r="K102" s="2"/>
      <c r="L102" s="2"/>
      <c r="M102" s="2"/>
      <c r="N102" s="2"/>
      <c r="O102" s="2"/>
    </row>
    <row r="103" spans="2:15" ht="12.75">
      <c r="B103" s="188" t="s">
        <v>340</v>
      </c>
      <c r="C103" s="41">
        <f>O40</f>
        <v>159231.801333</v>
      </c>
      <c r="D103" s="41">
        <f>IPOTEZE!C170*'Cont de Rezultat'!E55/12</f>
        <v>121417.649921845</v>
      </c>
      <c r="E103" s="41">
        <f>IPOTEZE!D170*'Cont de Rezultat'!F55/12</f>
        <v>126272.87079137565</v>
      </c>
      <c r="F103" s="41">
        <f>IPOTEZE!E170*'Cont de Rezultat'!G55/12</f>
        <v>134744.15449138285</v>
      </c>
      <c r="G103" s="41">
        <f>IPOTEZE!F170*'Cont de Rezultat'!H55/12</f>
        <v>140216.58785967733</v>
      </c>
      <c r="H103" s="4"/>
      <c r="I103" s="2"/>
      <c r="J103" s="2"/>
      <c r="K103" s="2"/>
      <c r="L103" s="2"/>
      <c r="M103" s="2"/>
      <c r="N103" s="2"/>
      <c r="O103" s="2"/>
    </row>
    <row r="104" spans="2:15" ht="13.5" customHeight="1">
      <c r="B104" s="213" t="s">
        <v>111</v>
      </c>
      <c r="C104" s="41">
        <f>SUM(C100:C103)</f>
        <v>1404404.4683035603</v>
      </c>
      <c r="D104" s="41">
        <f>SUM(D100:D103)</f>
        <v>1520911.8443547657</v>
      </c>
      <c r="E104" s="41">
        <f>SUM(E100:E103)</f>
        <v>4321859.272830213</v>
      </c>
      <c r="F104" s="41">
        <f>SUM(F100:F103)</f>
        <v>567486.1881806744</v>
      </c>
      <c r="G104" s="190">
        <f>SUM(G100:G103)</f>
        <v>6617669.119682252</v>
      </c>
      <c r="H104" s="4"/>
      <c r="I104" s="2"/>
      <c r="J104" s="2"/>
      <c r="K104" s="2"/>
      <c r="L104" s="2"/>
      <c r="M104" s="2"/>
      <c r="N104" s="2"/>
      <c r="O104" s="2"/>
    </row>
    <row r="105" spans="1:16" ht="12.75">
      <c r="A105" s="26"/>
      <c r="B105" s="197" t="s">
        <v>112</v>
      </c>
      <c r="C105" s="42">
        <f>C98+C94+C104</f>
        <v>21554235.740078602</v>
      </c>
      <c r="D105" s="42">
        <f>D98+D94+D104</f>
        <v>22005250.930089146</v>
      </c>
      <c r="E105" s="42">
        <f>E98+E94+E104</f>
        <v>22830589.886912618</v>
      </c>
      <c r="F105" s="42">
        <f>F98+F94+F104</f>
        <v>24830747.088496666</v>
      </c>
      <c r="G105" s="192">
        <f>G98+G94+G104</f>
        <v>30880930.019998245</v>
      </c>
      <c r="H105" s="26"/>
      <c r="I105" s="20"/>
      <c r="J105" s="20"/>
      <c r="K105" s="20"/>
      <c r="L105" s="20"/>
      <c r="M105" s="20"/>
      <c r="N105" s="20"/>
      <c r="O105" s="20"/>
      <c r="P105" s="20"/>
    </row>
    <row r="106" spans="2:15" ht="18.75" thickBot="1">
      <c r="B106" s="216" t="s">
        <v>97</v>
      </c>
      <c r="C106" s="233">
        <f>C85-C105</f>
        <v>0</v>
      </c>
      <c r="D106" s="233">
        <f>D85-D105</f>
        <v>0</v>
      </c>
      <c r="E106" s="233">
        <f>E85-E105</f>
        <v>0</v>
      </c>
      <c r="F106" s="233">
        <f>F85-F105</f>
        <v>0</v>
      </c>
      <c r="G106" s="234">
        <f>G85-G105</f>
        <v>0</v>
      </c>
      <c r="H106" s="84"/>
      <c r="I106" s="2"/>
      <c r="J106" s="2"/>
      <c r="K106" s="2"/>
      <c r="L106" s="2"/>
      <c r="M106" s="2"/>
      <c r="N106" s="2"/>
      <c r="O106" s="2"/>
    </row>
    <row r="113" ht="12.75"/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R88"/>
  <sheetViews>
    <sheetView showGridLines="0" showRowColHeaders="0" zoomScalePageLayoutView="0" workbookViewId="0" topLeftCell="A1">
      <selection activeCell="C13" sqref="C13"/>
    </sheetView>
  </sheetViews>
  <sheetFormatPr defaultColWidth="8.8515625" defaultRowHeight="12.75"/>
  <cols>
    <col min="1" max="1" width="3.7109375" style="3" customWidth="1"/>
    <col min="2" max="2" width="36.7109375" style="3" customWidth="1"/>
    <col min="3" max="3" width="17.28125" style="3" customWidth="1"/>
    <col min="4" max="7" width="13.8515625" style="3" bestFit="1" customWidth="1"/>
    <col min="8" max="8" width="11.7109375" style="3" bestFit="1" customWidth="1"/>
    <col min="9" max="14" width="12.00390625" style="3" bestFit="1" customWidth="1"/>
    <col min="15" max="15" width="13.8515625" style="3" bestFit="1" customWidth="1"/>
    <col min="16" max="16384" width="8.8515625" style="3" customWidth="1"/>
  </cols>
  <sheetData>
    <row r="2" spans="5:7" ht="23.25">
      <c r="E2" s="436" t="s">
        <v>324</v>
      </c>
      <c r="F2" s="391"/>
      <c r="G2" s="391"/>
    </row>
    <row r="3" s="235" customFormat="1" ht="12.75"/>
    <row r="4" s="235" customFormat="1" ht="12.75"/>
    <row r="5" spans="2:16" s="237" customFormat="1" ht="12.75">
      <c r="B5" s="236"/>
      <c r="C5" s="236"/>
      <c r="D5" s="236"/>
      <c r="E5" s="236"/>
      <c r="F5" s="247">
        <f>'Cont de Rezultat'!F40</f>
        <v>848570</v>
      </c>
      <c r="G5" s="248"/>
      <c r="H5" s="248"/>
      <c r="I5" s="247">
        <f>'Cont de Rezultat'!I40</f>
        <v>1743270.6666666665</v>
      </c>
      <c r="J5" s="248"/>
      <c r="K5" s="248"/>
      <c r="L5" s="247">
        <f>'Cont de Rezultat'!L40</f>
        <v>3039332.278506666</v>
      </c>
      <c r="M5" s="248"/>
      <c r="N5" s="248"/>
      <c r="O5" s="247">
        <f>'Cont de Rezultat'!O40</f>
        <v>5550183.854026668</v>
      </c>
      <c r="P5" s="249"/>
    </row>
    <row r="6" spans="2:18" s="239" customFormat="1" ht="23.25">
      <c r="B6" s="238"/>
      <c r="C6" s="251" t="s">
        <v>291</v>
      </c>
      <c r="D6" s="252"/>
      <c r="E6" s="218"/>
      <c r="F6" s="218"/>
      <c r="G6" s="218"/>
      <c r="H6" s="218"/>
      <c r="I6" s="248">
        <f>F12</f>
        <v>135771.2</v>
      </c>
      <c r="J6" s="248"/>
      <c r="K6" s="248"/>
      <c r="L6" s="248">
        <f>I6+I12</f>
        <v>278923.30666666664</v>
      </c>
      <c r="M6" s="248"/>
      <c r="N6" s="248"/>
      <c r="O6" s="248">
        <f>L6+L12</f>
        <v>486293.16456106654</v>
      </c>
      <c r="P6" s="250">
        <f>IF(O5&lt;0,0,IF(O5*IPOTEZE!N97&gt;O6,O5*IPOTEZE!N97-O6,0))</f>
        <v>401736.25208320026</v>
      </c>
      <c r="Q6" s="237"/>
      <c r="R6" s="237"/>
    </row>
    <row r="7" spans="2:15" s="34" customFormat="1" ht="12.75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2:15" ht="12.75">
      <c r="B8" s="253" t="s">
        <v>119</v>
      </c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176">
        <v>6</v>
      </c>
      <c r="I8" s="176">
        <v>7</v>
      </c>
      <c r="J8" s="176">
        <v>8</v>
      </c>
      <c r="K8" s="176">
        <v>9</v>
      </c>
      <c r="L8" s="176">
        <v>10</v>
      </c>
      <c r="M8" s="176">
        <v>11</v>
      </c>
      <c r="N8" s="176">
        <v>12</v>
      </c>
      <c r="O8" s="176" t="s">
        <v>120</v>
      </c>
    </row>
    <row r="9" spans="2:15" s="471" customFormat="1" ht="12.75">
      <c r="B9" s="469" t="s">
        <v>121</v>
      </c>
      <c r="C9" s="470">
        <f aca="true" t="shared" si="0" ref="C9:N9">C10+C11-C12+C13</f>
        <v>-95200</v>
      </c>
      <c r="D9" s="470">
        <f t="shared" si="0"/>
        <v>308485</v>
      </c>
      <c r="E9" s="470">
        <f t="shared" si="0"/>
        <v>408265.0625</v>
      </c>
      <c r="F9" s="470">
        <f t="shared" si="0"/>
        <v>233046.4191666665</v>
      </c>
      <c r="G9" s="470">
        <f t="shared" si="0"/>
        <v>411853.625</v>
      </c>
      <c r="H9" s="470">
        <f t="shared" si="0"/>
        <v>465646.67649999994</v>
      </c>
      <c r="I9" s="470">
        <f t="shared" si="0"/>
        <v>346529.7429933332</v>
      </c>
      <c r="J9" s="470">
        <f t="shared" si="0"/>
        <v>506329.8319999997</v>
      </c>
      <c r="K9" s="470">
        <f t="shared" si="0"/>
        <v>706905.2429392</v>
      </c>
      <c r="L9" s="470">
        <f t="shared" si="0"/>
        <v>665904.5214456003</v>
      </c>
      <c r="M9" s="470">
        <f t="shared" si="0"/>
        <v>779233.8324650007</v>
      </c>
      <c r="N9" s="470">
        <f t="shared" si="0"/>
        <v>991465.9418400005</v>
      </c>
      <c r="O9" s="156">
        <f aca="true" t="shared" si="1" ref="O9:O22">SUM(C9:N9)</f>
        <v>5728465.896849801</v>
      </c>
    </row>
    <row r="10" spans="2:15" ht="12.75">
      <c r="B10" s="254" t="s">
        <v>122</v>
      </c>
      <c r="C10" s="41">
        <f>'Cont de Rezultat'!D27</f>
        <v>323800</v>
      </c>
      <c r="D10" s="41">
        <f>'Cont de Rezultat'!E27</f>
        <v>401410</v>
      </c>
      <c r="E10" s="41">
        <f>'Cont de Rezultat'!F$27</f>
        <v>409610</v>
      </c>
      <c r="F10" s="41">
        <f>'Cont de Rezultat'!G$27</f>
        <v>371504.6666666665</v>
      </c>
      <c r="G10" s="41">
        <f>'Cont de Rezultat'!H$27</f>
        <v>404213</v>
      </c>
      <c r="H10" s="41">
        <f>'Cont de Rezultat'!I$27</f>
        <v>425233</v>
      </c>
      <c r="I10" s="41">
        <f>'Cont de Rezultat'!J$27</f>
        <v>442079.8319999997</v>
      </c>
      <c r="J10" s="41">
        <f>'Cont de Rezultat'!K$27</f>
        <v>453079.8319999997</v>
      </c>
      <c r="K10" s="41">
        <f>'Cont de Rezultat'!L$27</f>
        <v>671276.94784</v>
      </c>
      <c r="L10" s="41">
        <f>'Cont de Rezultat'!M$27</f>
        <v>869094.6918400005</v>
      </c>
      <c r="M10" s="41">
        <f>'Cont de Rezultat'!N$27</f>
        <v>947290.9418400005</v>
      </c>
      <c r="N10" s="41">
        <f>'Cont de Rezultat'!O$27</f>
        <v>938215.9418400005</v>
      </c>
      <c r="O10" s="474">
        <f t="shared" si="1"/>
        <v>6656808.854026668</v>
      </c>
    </row>
    <row r="11" spans="2:15" ht="25.5">
      <c r="B11" s="254" t="s">
        <v>123</v>
      </c>
      <c r="C11" s="41">
        <f>'Cont de Rezultat'!D$25</f>
        <v>2000</v>
      </c>
      <c r="D11" s="41">
        <f>'Cont de Rezultat'!E$25</f>
        <v>2000</v>
      </c>
      <c r="E11" s="41">
        <f>'Cont de Rezultat'!F$25</f>
        <v>2250</v>
      </c>
      <c r="F11" s="41">
        <f>'Cont de Rezultat'!G$25</f>
        <v>2250</v>
      </c>
      <c r="G11" s="41">
        <f>'Cont de Rezultat'!H$25</f>
        <v>52250</v>
      </c>
      <c r="H11" s="41">
        <f>'Cont de Rezultat'!I$25</f>
        <v>53250</v>
      </c>
      <c r="I11" s="41">
        <f>'Cont de Rezultat'!J$25</f>
        <v>53250</v>
      </c>
      <c r="J11" s="41">
        <f>'Cont de Rezultat'!K$25</f>
        <v>53250</v>
      </c>
      <c r="K11" s="41">
        <f>'Cont de Rezultat'!L$25</f>
        <v>53250</v>
      </c>
      <c r="L11" s="41">
        <f>'Cont de Rezultat'!M$25</f>
        <v>53250</v>
      </c>
      <c r="M11" s="41">
        <f>'Cont de Rezultat'!N$25</f>
        <v>53250</v>
      </c>
      <c r="N11" s="41">
        <f>'Cont de Rezultat'!O$25</f>
        <v>53250</v>
      </c>
      <c r="O11" s="474">
        <f t="shared" si="1"/>
        <v>433500</v>
      </c>
    </row>
    <row r="12" spans="2:15" ht="12.75">
      <c r="B12" s="254" t="s">
        <v>124</v>
      </c>
      <c r="C12" s="41">
        <v>0</v>
      </c>
      <c r="D12" s="41">
        <v>0</v>
      </c>
      <c r="E12" s="41">
        <v>0</v>
      </c>
      <c r="F12" s="41">
        <f>IF(F5&lt;0,0,IPOTEZE!F97*F5)</f>
        <v>135771.2</v>
      </c>
      <c r="G12" s="41">
        <v>0</v>
      </c>
      <c r="H12" s="41">
        <v>0</v>
      </c>
      <c r="I12" s="41">
        <f>IF(I5&lt;0,0,IF(I5*IPOTEZE!H97&gt;I6,I5*IPOTEZE!H97-I6,0))</f>
        <v>143152.10666666663</v>
      </c>
      <c r="J12" s="41">
        <v>0</v>
      </c>
      <c r="K12" s="41">
        <v>0</v>
      </c>
      <c r="L12" s="41">
        <f>IF(L5&lt;0,0,IF(L5*IPOTEZE!K97&gt;L6,L5*IPOTEZE!K97-L6,0))</f>
        <v>207369.8578943999</v>
      </c>
      <c r="M12" s="41">
        <v>0</v>
      </c>
      <c r="N12" s="41">
        <v>0</v>
      </c>
      <c r="O12" s="474">
        <f t="shared" si="1"/>
        <v>486293.16456106654</v>
      </c>
    </row>
    <row r="13" spans="2:15" ht="25.5">
      <c r="B13" s="254" t="s">
        <v>125</v>
      </c>
      <c r="C13" s="41">
        <f aca="true" t="shared" si="2" ref="C13:N13">C53</f>
        <v>-421000</v>
      </c>
      <c r="D13" s="41">
        <f t="shared" si="2"/>
        <v>-94925</v>
      </c>
      <c r="E13" s="41">
        <f t="shared" si="2"/>
        <v>-3594.9375</v>
      </c>
      <c r="F13" s="41">
        <f t="shared" si="2"/>
        <v>-4937.047499999986</v>
      </c>
      <c r="G13" s="41">
        <f t="shared" si="2"/>
        <v>-44609.375</v>
      </c>
      <c r="H13" s="41">
        <f t="shared" si="2"/>
        <v>-12836.323500000057</v>
      </c>
      <c r="I13" s="41">
        <f t="shared" si="2"/>
        <v>-5647.982339999871</v>
      </c>
      <c r="J13" s="41">
        <f t="shared" si="2"/>
        <v>0</v>
      </c>
      <c r="K13" s="41">
        <f t="shared" si="2"/>
        <v>-17621.704900800018</v>
      </c>
      <c r="L13" s="41">
        <f t="shared" si="2"/>
        <v>-49070.31250000023</v>
      </c>
      <c r="M13" s="41">
        <f t="shared" si="2"/>
        <v>-221307.10937499977</v>
      </c>
      <c r="N13" s="41">
        <f t="shared" si="2"/>
        <v>0</v>
      </c>
      <c r="O13" s="474">
        <f t="shared" si="1"/>
        <v>-875549.7926157999</v>
      </c>
    </row>
    <row r="14" spans="2:15" s="471" customFormat="1" ht="25.5">
      <c r="B14" s="469" t="s">
        <v>126</v>
      </c>
      <c r="C14" s="42">
        <f aca="true" t="shared" si="3" ref="C14:N14">-C15</f>
        <v>0</v>
      </c>
      <c r="D14" s="42">
        <f t="shared" si="3"/>
        <v>0</v>
      </c>
      <c r="E14" s="42">
        <f t="shared" si="3"/>
        <v>-15000</v>
      </c>
      <c r="F14" s="42">
        <f t="shared" si="3"/>
        <v>0</v>
      </c>
      <c r="G14" s="42">
        <f t="shared" si="3"/>
        <v>-7500000</v>
      </c>
      <c r="H14" s="42">
        <f t="shared" si="3"/>
        <v>-52000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156">
        <f t="shared" si="1"/>
        <v>-7567000</v>
      </c>
    </row>
    <row r="15" spans="2:15" ht="12.75">
      <c r="B15" s="254" t="s">
        <v>127</v>
      </c>
      <c r="C15" s="41">
        <f>IPOTEZE!D41</f>
        <v>0</v>
      </c>
      <c r="D15" s="41">
        <f>IPOTEZE!$D42</f>
        <v>0</v>
      </c>
      <c r="E15" s="41">
        <f>IPOTEZE!$D43</f>
        <v>15000</v>
      </c>
      <c r="F15" s="41">
        <f>IPOTEZE!$D44</f>
        <v>0</v>
      </c>
      <c r="G15" s="41">
        <f>IPOTEZE!$D45</f>
        <v>7500000</v>
      </c>
      <c r="H15" s="41">
        <f>IPOTEZE!$D46</f>
        <v>52000</v>
      </c>
      <c r="I15" s="41">
        <f>IPOTEZE!$D47</f>
        <v>0</v>
      </c>
      <c r="J15" s="41">
        <f>IPOTEZE!$D48</f>
        <v>0</v>
      </c>
      <c r="K15" s="41">
        <f>IPOTEZE!$D49</f>
        <v>0</v>
      </c>
      <c r="L15" s="41">
        <f>IPOTEZE!$D50</f>
        <v>0</v>
      </c>
      <c r="M15" s="41">
        <f>IPOTEZE!$D51</f>
        <v>0</v>
      </c>
      <c r="N15" s="41">
        <f>IPOTEZE!$D52</f>
        <v>0</v>
      </c>
      <c r="O15" s="474">
        <f t="shared" si="1"/>
        <v>7567000</v>
      </c>
    </row>
    <row r="16" spans="2:15" s="471" customFormat="1" ht="25.5">
      <c r="B16" s="469" t="s">
        <v>128</v>
      </c>
      <c r="C16" s="470">
        <f aca="true" t="shared" si="4" ref="C16:N16">C17-C18+C19-C20+C21-C22</f>
        <v>7411250</v>
      </c>
      <c r="D16" s="470">
        <f t="shared" si="4"/>
        <v>-93750</v>
      </c>
      <c r="E16" s="470">
        <f t="shared" si="4"/>
        <v>-66750</v>
      </c>
      <c r="F16" s="470">
        <f t="shared" si="4"/>
        <v>-93750</v>
      </c>
      <c r="G16" s="470">
        <f t="shared" si="4"/>
        <v>-93750</v>
      </c>
      <c r="H16" s="470">
        <f t="shared" si="4"/>
        <v>-118750</v>
      </c>
      <c r="I16" s="470">
        <f t="shared" si="4"/>
        <v>-342250</v>
      </c>
      <c r="J16" s="470">
        <f t="shared" si="4"/>
        <v>-340625</v>
      </c>
      <c r="K16" s="470">
        <f t="shared" si="4"/>
        <v>-337500</v>
      </c>
      <c r="L16" s="470">
        <f t="shared" si="4"/>
        <v>-334375</v>
      </c>
      <c r="M16" s="470">
        <f t="shared" si="4"/>
        <v>-331250</v>
      </c>
      <c r="N16" s="470">
        <f t="shared" si="4"/>
        <v>-328125</v>
      </c>
      <c r="O16" s="156">
        <f t="shared" si="1"/>
        <v>4930375</v>
      </c>
    </row>
    <row r="17" spans="2:15" ht="25.5">
      <c r="B17" s="254" t="s">
        <v>129</v>
      </c>
      <c r="C17" s="41">
        <f>IPOTEZE!C26</f>
        <v>7500000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74">
        <f t="shared" si="1"/>
        <v>7500000</v>
      </c>
    </row>
    <row r="18" spans="2:15" ht="25.5">
      <c r="B18" s="254" t="s">
        <v>130</v>
      </c>
      <c r="C18" s="41">
        <f>Planramb!E15</f>
        <v>0</v>
      </c>
      <c r="D18" s="41">
        <f>Planramb!E16</f>
        <v>0</v>
      </c>
      <c r="E18" s="41">
        <f>Planramb!E17</f>
        <v>0</v>
      </c>
      <c r="F18" s="41">
        <f>Planramb!E18</f>
        <v>0</v>
      </c>
      <c r="G18" s="41">
        <f>Planramb!E19</f>
        <v>0</v>
      </c>
      <c r="H18" s="41">
        <f>Planramb!E20</f>
        <v>0</v>
      </c>
      <c r="I18" s="41">
        <f>Planramb!E21</f>
        <v>250000</v>
      </c>
      <c r="J18" s="41">
        <f>Planramb!E22</f>
        <v>250000</v>
      </c>
      <c r="K18" s="41">
        <f>Planramb!E23</f>
        <v>250000</v>
      </c>
      <c r="L18" s="41">
        <f>Planramb!E24</f>
        <v>250000</v>
      </c>
      <c r="M18" s="41">
        <f>Planramb!E25</f>
        <v>250000</v>
      </c>
      <c r="N18" s="41">
        <f>Planramb!E26</f>
        <v>250000</v>
      </c>
      <c r="O18" s="474">
        <f t="shared" si="1"/>
        <v>1500000</v>
      </c>
    </row>
    <row r="19" spans="2:15" ht="12.75">
      <c r="B19" s="254" t="s">
        <v>131</v>
      </c>
      <c r="C19" s="41">
        <f>IPOTEZE!C145</f>
        <v>12000</v>
      </c>
      <c r="D19" s="41">
        <f>IPOTEZE!D145</f>
        <v>0</v>
      </c>
      <c r="E19" s="41">
        <f>IPOTEZE!E145</f>
        <v>25000</v>
      </c>
      <c r="F19" s="41">
        <f>IPOTEZE!F145</f>
        <v>0</v>
      </c>
      <c r="G19" s="41">
        <f>IPOTEZE!G145</f>
        <v>0</v>
      </c>
      <c r="H19" s="41">
        <f>IPOTEZE!H145</f>
        <v>0</v>
      </c>
      <c r="I19" s="41">
        <f>IPOTEZE!I145</f>
        <v>0</v>
      </c>
      <c r="J19" s="41">
        <f>IPOTEZE!J145</f>
        <v>0</v>
      </c>
      <c r="K19" s="41">
        <f>IPOTEZE!K145</f>
        <v>0</v>
      </c>
      <c r="L19" s="41">
        <f>IPOTEZE!L145</f>
        <v>0</v>
      </c>
      <c r="M19" s="41">
        <f>IPOTEZE!M145</f>
        <v>0</v>
      </c>
      <c r="N19" s="41">
        <f>IPOTEZE!N145</f>
        <v>0</v>
      </c>
      <c r="O19" s="474">
        <f t="shared" si="1"/>
        <v>37000</v>
      </c>
    </row>
    <row r="20" spans="2:15" ht="12.75">
      <c r="B20" s="254" t="s">
        <v>132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74">
        <f t="shared" si="1"/>
        <v>0</v>
      </c>
    </row>
    <row r="21" spans="2:15" ht="12.75">
      <c r="B21" s="254" t="s">
        <v>133</v>
      </c>
      <c r="C21" s="41">
        <f>'Cont de Rezultat'!D28</f>
        <v>8000</v>
      </c>
      <c r="D21" s="41">
        <f>'Cont de Rezultat'!E28</f>
        <v>10000</v>
      </c>
      <c r="E21" s="41">
        <f>'Cont de Rezultat'!F28</f>
        <v>2000</v>
      </c>
      <c r="F21" s="41">
        <f>'Cont de Rezultat'!G28</f>
        <v>0</v>
      </c>
      <c r="G21" s="41">
        <f>'Cont de Rezultat'!H28</f>
        <v>0</v>
      </c>
      <c r="H21" s="41">
        <f>'Cont de Rezultat'!I28</f>
        <v>0</v>
      </c>
      <c r="I21" s="41">
        <f>'Cont de Rezultat'!J28</f>
        <v>1500</v>
      </c>
      <c r="J21" s="41">
        <f>'Cont de Rezultat'!K28</f>
        <v>0</v>
      </c>
      <c r="K21" s="41">
        <f>'Cont de Rezultat'!L28</f>
        <v>0</v>
      </c>
      <c r="L21" s="41">
        <f>'Cont de Rezultat'!M28</f>
        <v>0</v>
      </c>
      <c r="M21" s="41">
        <f>'Cont de Rezultat'!N28</f>
        <v>0</v>
      </c>
      <c r="N21" s="41">
        <f>'Cont de Rezultat'!O28</f>
        <v>0</v>
      </c>
      <c r="O21" s="474">
        <f t="shared" si="1"/>
        <v>21500</v>
      </c>
    </row>
    <row r="22" spans="2:15" ht="12.75">
      <c r="B22" s="254" t="s">
        <v>134</v>
      </c>
      <c r="C22" s="41">
        <f>'Cont de Rezultat'!D29</f>
        <v>108750</v>
      </c>
      <c r="D22" s="41">
        <f>'Cont de Rezultat'!E29</f>
        <v>103750</v>
      </c>
      <c r="E22" s="41">
        <f>'Cont de Rezultat'!F29</f>
        <v>93750</v>
      </c>
      <c r="F22" s="41">
        <f>'Cont de Rezultat'!G29</f>
        <v>93750</v>
      </c>
      <c r="G22" s="41">
        <f>'Cont de Rezultat'!H29</f>
        <v>93750</v>
      </c>
      <c r="H22" s="41">
        <f>'Cont de Rezultat'!I29</f>
        <v>118750</v>
      </c>
      <c r="I22" s="41">
        <f>'Cont de Rezultat'!J29</f>
        <v>93750</v>
      </c>
      <c r="J22" s="41">
        <f>'Cont de Rezultat'!K29</f>
        <v>90625</v>
      </c>
      <c r="K22" s="41">
        <f>'Cont de Rezultat'!L29</f>
        <v>87500</v>
      </c>
      <c r="L22" s="41">
        <f>'Cont de Rezultat'!M29</f>
        <v>84375</v>
      </c>
      <c r="M22" s="41">
        <f>'Cont de Rezultat'!N29</f>
        <v>81250</v>
      </c>
      <c r="N22" s="41">
        <f>'Cont de Rezultat'!O29</f>
        <v>78125</v>
      </c>
      <c r="O22" s="474">
        <f t="shared" si="1"/>
        <v>1128125</v>
      </c>
    </row>
    <row r="23" spans="2:15" s="471" customFormat="1" ht="12.75">
      <c r="B23" s="472" t="s">
        <v>135</v>
      </c>
      <c r="C23" s="470">
        <f aca="true" t="shared" si="5" ref="C23:O23">C9+C14+C16</f>
        <v>7316050</v>
      </c>
      <c r="D23" s="470">
        <f t="shared" si="5"/>
        <v>214735</v>
      </c>
      <c r="E23" s="470">
        <f t="shared" si="5"/>
        <v>326515.0625</v>
      </c>
      <c r="F23" s="470">
        <f t="shared" si="5"/>
        <v>139296.4191666665</v>
      </c>
      <c r="G23" s="470">
        <f t="shared" si="5"/>
        <v>-7181896.375</v>
      </c>
      <c r="H23" s="470">
        <f t="shared" si="5"/>
        <v>294896.67649999994</v>
      </c>
      <c r="I23" s="470">
        <f t="shared" si="5"/>
        <v>4279.742993333202</v>
      </c>
      <c r="J23" s="470">
        <f t="shared" si="5"/>
        <v>165704.8319999997</v>
      </c>
      <c r="K23" s="470">
        <f t="shared" si="5"/>
        <v>369405.2429392</v>
      </c>
      <c r="L23" s="470">
        <f t="shared" si="5"/>
        <v>331529.5214456003</v>
      </c>
      <c r="M23" s="470">
        <f t="shared" si="5"/>
        <v>447983.8324650007</v>
      </c>
      <c r="N23" s="470">
        <f t="shared" si="5"/>
        <v>663340.9418400005</v>
      </c>
      <c r="O23" s="473">
        <f t="shared" si="5"/>
        <v>3091840.896849801</v>
      </c>
    </row>
    <row r="24" spans="2:15" ht="12.75">
      <c r="B24" s="255" t="s">
        <v>136</v>
      </c>
      <c r="C24" s="41">
        <f>IPOTEZE!C153</f>
        <v>100000</v>
      </c>
      <c r="D24" s="41">
        <f aca="true" t="shared" si="6" ref="D24:N24">C25</f>
        <v>7416050</v>
      </c>
      <c r="E24" s="41">
        <f t="shared" si="6"/>
        <v>7630785</v>
      </c>
      <c r="F24" s="41">
        <f t="shared" si="6"/>
        <v>7957300.0625</v>
      </c>
      <c r="G24" s="41">
        <f t="shared" si="6"/>
        <v>8096596.481666666</v>
      </c>
      <c r="H24" s="41">
        <f t="shared" si="6"/>
        <v>914700.1066666665</v>
      </c>
      <c r="I24" s="41">
        <f t="shared" si="6"/>
        <v>1209596.7831666665</v>
      </c>
      <c r="J24" s="41">
        <f t="shared" si="6"/>
        <v>1213876.5261599997</v>
      </c>
      <c r="K24" s="41">
        <f t="shared" si="6"/>
        <v>1379581.3581599994</v>
      </c>
      <c r="L24" s="41">
        <f t="shared" si="6"/>
        <v>1748986.6010991994</v>
      </c>
      <c r="M24" s="41">
        <f t="shared" si="6"/>
        <v>2080516.1225447997</v>
      </c>
      <c r="N24" s="41">
        <f t="shared" si="6"/>
        <v>2528499.9550098004</v>
      </c>
      <c r="O24" s="157">
        <f>C24</f>
        <v>100000</v>
      </c>
    </row>
    <row r="25" spans="2:15" s="471" customFormat="1" ht="12.75">
      <c r="B25" s="472" t="s">
        <v>137</v>
      </c>
      <c r="C25" s="470">
        <f aca="true" t="shared" si="7" ref="C25:O25">C23+C24</f>
        <v>7416050</v>
      </c>
      <c r="D25" s="470">
        <f t="shared" si="7"/>
        <v>7630785</v>
      </c>
      <c r="E25" s="470">
        <f t="shared" si="7"/>
        <v>7957300.0625</v>
      </c>
      <c r="F25" s="470">
        <f t="shared" si="7"/>
        <v>8096596.481666666</v>
      </c>
      <c r="G25" s="470">
        <f t="shared" si="7"/>
        <v>914700.1066666665</v>
      </c>
      <c r="H25" s="470">
        <f t="shared" si="7"/>
        <v>1209596.7831666665</v>
      </c>
      <c r="I25" s="470">
        <f t="shared" si="7"/>
        <v>1213876.5261599997</v>
      </c>
      <c r="J25" s="470">
        <f t="shared" si="7"/>
        <v>1379581.3581599994</v>
      </c>
      <c r="K25" s="470">
        <f t="shared" si="7"/>
        <v>1748986.6010991994</v>
      </c>
      <c r="L25" s="470">
        <f t="shared" si="7"/>
        <v>2080516.1225447997</v>
      </c>
      <c r="M25" s="470">
        <f t="shared" si="7"/>
        <v>2528499.9550098004</v>
      </c>
      <c r="N25" s="470">
        <f t="shared" si="7"/>
        <v>3191840.896849801</v>
      </c>
      <c r="O25" s="473">
        <f t="shared" si="7"/>
        <v>3191840.896849801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</row>
    <row r="27" spans="2:15" ht="18">
      <c r="B27" s="2"/>
      <c r="C27" s="453">
        <f>IF(OR(C25&lt;0,D25&lt;0,E25&lt;0,F25&lt;0,G25&lt;0,H25&lt;0,I25&lt;0,J25&lt;0,K25&lt;0,L25&lt;0,M25&lt;0,N25&lt;0),"Trebuie găsite modalităţi de acoperire a deficitului de trezorerie","")</f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4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4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4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4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2:15" ht="12.75" hidden="1">
      <c r="B49" s="240" t="s">
        <v>138</v>
      </c>
      <c r="C49" s="175">
        <v>1</v>
      </c>
      <c r="D49" s="175">
        <v>2</v>
      </c>
      <c r="E49" s="175">
        <v>3</v>
      </c>
      <c r="F49" s="175">
        <v>4</v>
      </c>
      <c r="G49" s="175">
        <v>5</v>
      </c>
      <c r="H49" s="175">
        <v>6</v>
      </c>
      <c r="I49" s="175">
        <v>7</v>
      </c>
      <c r="J49" s="175">
        <v>8</v>
      </c>
      <c r="K49" s="175">
        <v>9</v>
      </c>
      <c r="L49" s="175">
        <v>10</v>
      </c>
      <c r="M49" s="175">
        <v>11</v>
      </c>
      <c r="N49" s="175">
        <v>12</v>
      </c>
      <c r="O49" s="175" t="s">
        <v>139</v>
      </c>
    </row>
    <row r="50" spans="2:15" ht="12.75" hidden="1">
      <c r="B50" s="241" t="s">
        <v>140</v>
      </c>
      <c r="C50" s="29">
        <f>Bilant!C17+Bilant!C18+Bilant!C19</f>
        <v>656000</v>
      </c>
      <c r="D50" s="29">
        <f>Bilant!D17+Bilant!D18+Bilant!D19</f>
        <v>770800</v>
      </c>
      <c r="E50" s="29">
        <f>Bilant!E17+Bilant!E18+Bilant!E19</f>
        <v>778549</v>
      </c>
      <c r="F50" s="29">
        <f>Bilant!F17+Bilant!F18+Bilant!F19</f>
        <v>789190.96</v>
      </c>
      <c r="G50" s="29">
        <f>Bilant!G17+Bilant!G18+Bilant!G19</f>
        <v>840440.96</v>
      </c>
      <c r="H50" s="29">
        <f>Bilant!H17+Bilant!H18+Bilant!H19</f>
        <v>868110.0560000001</v>
      </c>
      <c r="I50" s="29">
        <f>Bilant!I17+Bilant!I18+Bilant!I19</f>
        <v>880284.45824</v>
      </c>
      <c r="J50" s="29">
        <f>Bilant!J17+Bilant!J18+Bilant!J19</f>
        <v>880284.45824</v>
      </c>
      <c r="K50" s="29">
        <f>Bilant!K17+Bilant!K18+Bilant!K19</f>
        <v>918268.5932288</v>
      </c>
      <c r="L50" s="29">
        <f>Bilant!L17+Bilant!L18+Bilant!L19</f>
        <v>974643.5932288002</v>
      </c>
      <c r="M50" s="29">
        <f>Bilant!M17+Bilant!M18+Bilant!M19</f>
        <v>1228894.8432288</v>
      </c>
      <c r="N50" s="29">
        <f>Bilant!N17+Bilant!N18+Bilant!N19</f>
        <v>1228894.8432288</v>
      </c>
      <c r="O50" s="17"/>
    </row>
    <row r="51" spans="2:15" ht="12.75" hidden="1">
      <c r="B51" s="241" t="s">
        <v>141</v>
      </c>
      <c r="C51" s="17">
        <f>Bilant!C37+Bilant!C40</f>
        <v>185000</v>
      </c>
      <c r="D51" s="17">
        <f>Bilant!D37+Bilant!D40</f>
        <v>204875</v>
      </c>
      <c r="E51" s="17">
        <f>Bilant!E37+Bilant!E40</f>
        <v>209029.0625</v>
      </c>
      <c r="F51" s="17">
        <f>Bilant!F37+Bilant!F40</f>
        <v>214733.97499999998</v>
      </c>
      <c r="G51" s="17">
        <f>Bilant!G37+Bilant!G40</f>
        <v>221374.59999999998</v>
      </c>
      <c r="H51" s="17">
        <f>Bilant!H37+Bilant!H40</f>
        <v>236207.37250000003</v>
      </c>
      <c r="I51" s="17">
        <f>Bilant!I37+Bilant!I40</f>
        <v>242733.7924</v>
      </c>
      <c r="J51" s="17">
        <f>Bilant!J37+Bilant!J40</f>
        <v>242733.7924</v>
      </c>
      <c r="K51" s="17">
        <f>Bilant!K37+Bilant!K40</f>
        <v>263096.22248800006</v>
      </c>
      <c r="L51" s="17">
        <f>Bilant!L37+Bilant!L40</f>
        <v>270400.90998800006</v>
      </c>
      <c r="M51" s="17">
        <f>Bilant!M37+Bilant!M40</f>
        <v>303345.05061300006</v>
      </c>
      <c r="N51" s="17">
        <f>Bilant!N37+Bilant!N40</f>
        <v>303345.05061300006</v>
      </c>
      <c r="O51" s="17"/>
    </row>
    <row r="52" spans="2:15" ht="12.75" hidden="1">
      <c r="B52" s="240" t="s">
        <v>142</v>
      </c>
      <c r="C52" s="17">
        <f aca="true" t="shared" si="8" ref="C52:N52">C50-C51</f>
        <v>471000</v>
      </c>
      <c r="D52" s="17">
        <f t="shared" si="8"/>
        <v>565925</v>
      </c>
      <c r="E52" s="17">
        <f t="shared" si="8"/>
        <v>569519.9375</v>
      </c>
      <c r="F52" s="17">
        <f t="shared" si="8"/>
        <v>574456.985</v>
      </c>
      <c r="G52" s="17">
        <f t="shared" si="8"/>
        <v>619066.36</v>
      </c>
      <c r="H52" s="17">
        <f t="shared" si="8"/>
        <v>631902.6835</v>
      </c>
      <c r="I52" s="17">
        <f t="shared" si="8"/>
        <v>637550.6658399999</v>
      </c>
      <c r="J52" s="17">
        <f t="shared" si="8"/>
        <v>637550.6658399999</v>
      </c>
      <c r="K52" s="17">
        <f t="shared" si="8"/>
        <v>655172.3707407999</v>
      </c>
      <c r="L52" s="17">
        <f t="shared" si="8"/>
        <v>704242.6832408002</v>
      </c>
      <c r="M52" s="17">
        <f t="shared" si="8"/>
        <v>925549.7926157999</v>
      </c>
      <c r="N52" s="17">
        <f t="shared" si="8"/>
        <v>925549.7926157999</v>
      </c>
      <c r="O52" s="17"/>
    </row>
    <row r="53" spans="2:15" ht="12.75" hidden="1">
      <c r="B53" s="242" t="s">
        <v>143</v>
      </c>
      <c r="C53" s="17">
        <f>IPOTEZE!C149-C52</f>
        <v>-421000</v>
      </c>
      <c r="D53" s="17">
        <f aca="true" t="shared" si="9" ref="D53:N53">C52-D52</f>
        <v>-94925</v>
      </c>
      <c r="E53" s="17">
        <f t="shared" si="9"/>
        <v>-3594.9375</v>
      </c>
      <c r="F53" s="17">
        <f t="shared" si="9"/>
        <v>-4937.047499999986</v>
      </c>
      <c r="G53" s="17">
        <f t="shared" si="9"/>
        <v>-44609.375</v>
      </c>
      <c r="H53" s="17">
        <f t="shared" si="9"/>
        <v>-12836.323500000057</v>
      </c>
      <c r="I53" s="17">
        <f t="shared" si="9"/>
        <v>-5647.982339999871</v>
      </c>
      <c r="J53" s="17">
        <f t="shared" si="9"/>
        <v>0</v>
      </c>
      <c r="K53" s="17">
        <f t="shared" si="9"/>
        <v>-17621.704900800018</v>
      </c>
      <c r="L53" s="17">
        <f t="shared" si="9"/>
        <v>-49070.31250000023</v>
      </c>
      <c r="M53" s="17">
        <f t="shared" si="9"/>
        <v>-221307.10937499977</v>
      </c>
      <c r="N53" s="17">
        <f t="shared" si="9"/>
        <v>0</v>
      </c>
      <c r="O53" s="29"/>
    </row>
    <row r="54" spans="2:15" ht="23.25">
      <c r="B54" s="256" t="s">
        <v>292</v>
      </c>
      <c r="C54" s="257"/>
      <c r="D54" s="60"/>
      <c r="E54" s="60"/>
      <c r="F54" s="57"/>
      <c r="G54" s="2"/>
      <c r="H54" s="2"/>
      <c r="I54" s="2"/>
      <c r="J54" s="2"/>
      <c r="K54" s="2"/>
      <c r="L54" s="2"/>
      <c r="M54" s="2"/>
      <c r="N54" s="2"/>
      <c r="O54" s="2"/>
    </row>
    <row r="55" spans="2:15" ht="12.75" customHeight="1" hidden="1">
      <c r="B55" s="243" t="s">
        <v>144</v>
      </c>
      <c r="C55" s="244">
        <f>IF((O6+P6)&gt;'Cont de Rezultat'!P42,O6+P6-'Cont de Rezultat'!P42,0)</f>
        <v>0</v>
      </c>
      <c r="D55" s="245"/>
      <c r="E55" s="245"/>
      <c r="F55" s="245"/>
      <c r="G55" s="245"/>
      <c r="H55" s="2"/>
      <c r="I55" s="2"/>
      <c r="J55" s="2"/>
      <c r="K55" s="2"/>
      <c r="L55" s="2"/>
      <c r="M55" s="2"/>
      <c r="N55" s="2"/>
      <c r="O55" s="14"/>
    </row>
    <row r="56" spans="2:15" ht="12.75" customHeight="1" hidden="1">
      <c r="B56" s="243" t="s">
        <v>145</v>
      </c>
      <c r="C56" s="244">
        <f>P6</f>
        <v>401736.25208320026</v>
      </c>
      <c r="D56" s="245">
        <f>'Cont de Rezultat'!E75/4</f>
        <v>211714.78183868813</v>
      </c>
      <c r="E56" s="245">
        <f>'Cont de Rezultat'!F75/4</f>
        <v>242741.2434948617</v>
      </c>
      <c r="F56" s="245">
        <f>'Cont de Rezultat'!G75/4</f>
        <v>274025.25172540906</v>
      </c>
      <c r="G56" s="245">
        <f>'Cont de Rezultat'!H75/4</f>
        <v>285844.5255129797</v>
      </c>
      <c r="H56" s="2"/>
      <c r="I56" s="2"/>
      <c r="J56" s="2"/>
      <c r="K56" s="2"/>
      <c r="L56" s="2"/>
      <c r="M56" s="2"/>
      <c r="N56" s="2"/>
      <c r="O56" s="14"/>
    </row>
    <row r="57" spans="2:15" ht="13.5" thickBot="1">
      <c r="B57" s="246"/>
      <c r="C57" s="4"/>
      <c r="D57" s="4"/>
      <c r="E57" s="4"/>
      <c r="F57" s="4"/>
      <c r="G57" s="4"/>
      <c r="H57" s="2"/>
      <c r="I57" s="2"/>
      <c r="J57" s="2"/>
      <c r="K57" s="2"/>
      <c r="L57" s="2"/>
      <c r="M57" s="2"/>
      <c r="N57" s="2"/>
      <c r="O57" s="2"/>
    </row>
    <row r="58" spans="1:16" ht="12.75">
      <c r="A58" s="26"/>
      <c r="B58" s="261" t="s">
        <v>146</v>
      </c>
      <c r="C58" s="262" t="s">
        <v>7</v>
      </c>
      <c r="D58" s="262" t="s">
        <v>147</v>
      </c>
      <c r="E58" s="262" t="s">
        <v>148</v>
      </c>
      <c r="F58" s="262" t="s">
        <v>149</v>
      </c>
      <c r="G58" s="263" t="s">
        <v>150</v>
      </c>
      <c r="H58" s="28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6"/>
      <c r="B59" s="264"/>
      <c r="C59" s="26"/>
      <c r="D59" s="26"/>
      <c r="E59" s="26"/>
      <c r="F59" s="26"/>
      <c r="G59" s="265"/>
      <c r="H59" s="26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6"/>
      <c r="B60" s="266" t="s">
        <v>121</v>
      </c>
      <c r="C60" s="220">
        <f>C61+C62-C63+C64</f>
        <v>5728465.896849801</v>
      </c>
      <c r="D60" s="220">
        <f>D61+D62-D63+D64</f>
        <v>4825848.072865499</v>
      </c>
      <c r="E60" s="220">
        <f>E61+E62-E63+E64</f>
        <v>5719868.47443354</v>
      </c>
      <c r="F60" s="220">
        <f>F61+F62-F63+F64</f>
        <v>6124044.6256703725</v>
      </c>
      <c r="G60" s="230">
        <f>G61+G62-G63+G64</f>
        <v>6381528.308336405</v>
      </c>
      <c r="H60" s="26"/>
      <c r="I60" s="20"/>
      <c r="J60" s="20"/>
      <c r="K60" s="20"/>
      <c r="L60" s="20"/>
      <c r="M60" s="20"/>
      <c r="N60" s="20"/>
      <c r="O60" s="20"/>
      <c r="P60" s="20"/>
    </row>
    <row r="61" spans="2:15" ht="12.75">
      <c r="B61" s="267" t="s">
        <v>151</v>
      </c>
      <c r="C61" s="173">
        <f>O10</f>
        <v>6656808.854026668</v>
      </c>
      <c r="D61" s="173">
        <f>'Cont de Rezultat'!E67</f>
        <v>5978119.545967203</v>
      </c>
      <c r="E61" s="173">
        <f>'Cont de Rezultat'!F67</f>
        <v>6307281.087371543</v>
      </c>
      <c r="F61" s="173">
        <f>'Cont de Rezultat'!G67</f>
        <v>6812631.293135226</v>
      </c>
      <c r="G61" s="189">
        <f>'Cont de Rezultat'!H67</f>
        <v>7146113.137824494</v>
      </c>
      <c r="H61" s="4"/>
      <c r="I61" s="2"/>
      <c r="J61" s="2"/>
      <c r="K61" s="2"/>
      <c r="L61" s="2"/>
      <c r="M61" s="2"/>
      <c r="N61" s="2"/>
      <c r="O61" s="2"/>
    </row>
    <row r="62" spans="2:15" ht="25.5">
      <c r="B62" s="268" t="s">
        <v>152</v>
      </c>
      <c r="C62" s="41">
        <f>O11</f>
        <v>433500</v>
      </c>
      <c r="D62" s="41">
        <f>'Cont de Rezultat'!E65</f>
        <v>435500</v>
      </c>
      <c r="E62" s="41">
        <f>'Cont de Rezultat'!F65</f>
        <v>435500</v>
      </c>
      <c r="F62" s="41">
        <f>'Cont de Rezultat'!G65</f>
        <v>460500</v>
      </c>
      <c r="G62" s="190">
        <f>'Cont de Rezultat'!H65</f>
        <v>492500</v>
      </c>
      <c r="H62" s="4"/>
      <c r="I62" s="2"/>
      <c r="J62" s="2"/>
      <c r="K62" s="2"/>
      <c r="L62" s="2"/>
      <c r="M62" s="2"/>
      <c r="N62" s="2"/>
      <c r="O62" s="2"/>
    </row>
    <row r="63" spans="2:15" ht="12.75">
      <c r="B63" s="269" t="s">
        <v>153</v>
      </c>
      <c r="C63" s="219">
        <f>O12</f>
        <v>486293.16456106654</v>
      </c>
      <c r="D63" s="219">
        <f>'Cont de Rezultat'!E75*3/4+C56-C55</f>
        <v>1036880.5975992647</v>
      </c>
      <c r="E63" s="219">
        <f>'Cont de Rezultat'!F75*3/4+D56-D55</f>
        <v>939938.5123232731</v>
      </c>
      <c r="F63" s="219">
        <f>'Cont de Rezultat'!G75*3/4+E56-E55</f>
        <v>1064816.9986710888</v>
      </c>
      <c r="G63" s="229">
        <f>'Cont de Rezultat'!H75*3/4+F56-F55</f>
        <v>1131558.8282643482</v>
      </c>
      <c r="H63" s="4"/>
      <c r="I63" s="2"/>
      <c r="J63" s="2"/>
      <c r="K63" s="2"/>
      <c r="L63" s="2"/>
      <c r="M63" s="2"/>
      <c r="N63" s="2"/>
      <c r="O63" s="2"/>
    </row>
    <row r="64" spans="2:15" ht="25.5">
      <c r="B64" s="270" t="s">
        <v>154</v>
      </c>
      <c r="C64" s="258">
        <f>O13</f>
        <v>-875549.7926157999</v>
      </c>
      <c r="D64" s="258">
        <f>D86</f>
        <v>-550890.8755024392</v>
      </c>
      <c r="E64" s="258">
        <f>E86</f>
        <v>-82974.1006147291</v>
      </c>
      <c r="F64" s="258">
        <f>F86</f>
        <v>-84269.6687937649</v>
      </c>
      <c r="G64" s="271">
        <f>G86</f>
        <v>-125526.0012237411</v>
      </c>
      <c r="H64" s="4"/>
      <c r="I64" s="2"/>
      <c r="J64" s="2"/>
      <c r="K64" s="2"/>
      <c r="L64" s="2"/>
      <c r="M64" s="2"/>
      <c r="N64" s="2"/>
      <c r="O64" s="2"/>
    </row>
    <row r="65" spans="2:15" ht="12.75">
      <c r="B65" s="272"/>
      <c r="C65" s="84"/>
      <c r="D65" s="84"/>
      <c r="E65" s="84"/>
      <c r="F65" s="84"/>
      <c r="G65" s="231"/>
      <c r="H65" s="4"/>
      <c r="I65" s="2"/>
      <c r="J65" s="2"/>
      <c r="K65" s="2"/>
      <c r="L65" s="2"/>
      <c r="M65" s="2"/>
      <c r="N65" s="2"/>
      <c r="O65" s="2"/>
    </row>
    <row r="66" spans="1:16" ht="25.5">
      <c r="A66" s="26"/>
      <c r="B66" s="273" t="s">
        <v>155</v>
      </c>
      <c r="C66" s="260">
        <f>-C67</f>
        <v>-7567000</v>
      </c>
      <c r="D66" s="260">
        <f>-D67</f>
        <v>0</v>
      </c>
      <c r="E66" s="260">
        <f>-E67</f>
        <v>0</v>
      </c>
      <c r="F66" s="260">
        <f>-F67</f>
        <v>-3300000</v>
      </c>
      <c r="G66" s="274">
        <f>-G67</f>
        <v>-2750000</v>
      </c>
      <c r="H66" s="26"/>
      <c r="I66" s="20"/>
      <c r="J66" s="20"/>
      <c r="K66" s="20"/>
      <c r="L66" s="20"/>
      <c r="M66" s="20"/>
      <c r="N66" s="20"/>
      <c r="O66" s="20"/>
      <c r="P66" s="20"/>
    </row>
    <row r="67" spans="2:15" ht="12.75">
      <c r="B67" s="267" t="s">
        <v>156</v>
      </c>
      <c r="C67" s="259">
        <f>O15</f>
        <v>7567000</v>
      </c>
      <c r="D67" s="259">
        <f>IPOTEZE!D54</f>
        <v>0</v>
      </c>
      <c r="E67" s="259">
        <f>IPOTEZE!D55</f>
        <v>0</v>
      </c>
      <c r="F67" s="259">
        <f>IPOTEZE!D56</f>
        <v>3300000</v>
      </c>
      <c r="G67" s="275">
        <f>IPOTEZE!D57</f>
        <v>2750000</v>
      </c>
      <c r="H67" s="4"/>
      <c r="I67" s="2"/>
      <c r="J67" s="2"/>
      <c r="K67" s="2"/>
      <c r="L67" s="2"/>
      <c r="M67" s="2"/>
      <c r="N67" s="2"/>
      <c r="O67" s="2"/>
    </row>
    <row r="68" spans="2:15" ht="12.75">
      <c r="B68" s="276"/>
      <c r="C68" s="41"/>
      <c r="D68" s="41"/>
      <c r="E68" s="41"/>
      <c r="F68" s="41"/>
      <c r="G68" s="190"/>
      <c r="H68" s="4"/>
      <c r="I68" s="2"/>
      <c r="J68" s="2"/>
      <c r="K68" s="2"/>
      <c r="L68" s="2"/>
      <c r="M68" s="2"/>
      <c r="N68" s="2"/>
      <c r="O68" s="2"/>
    </row>
    <row r="69" spans="1:16" ht="25.5">
      <c r="A69" s="26"/>
      <c r="B69" s="277" t="s">
        <v>157</v>
      </c>
      <c r="C69" s="42">
        <f>C70-C71+C72-C73-C74+C75-C76</f>
        <v>4930375</v>
      </c>
      <c r="D69" s="42">
        <f>D70-D71+D72-D73-D74+D75-D76</f>
        <v>-4384573.16560736</v>
      </c>
      <c r="E69" s="42">
        <f>E70-E71+E72-E73-E74+E75-E76</f>
        <v>-4600252.604653113</v>
      </c>
      <c r="F69" s="42">
        <f>F70-F71+F72-F73-F74+F75-F76</f>
        <v>-3785174.585044072</v>
      </c>
      <c r="G69" s="192">
        <f>G70-G71+G72-G73-G74+G75-G76</f>
        <v>0</v>
      </c>
      <c r="H69" s="26"/>
      <c r="I69" s="20"/>
      <c r="J69" s="20"/>
      <c r="K69" s="20"/>
      <c r="L69" s="20"/>
      <c r="M69" s="20"/>
      <c r="N69" s="20"/>
      <c r="O69" s="20"/>
      <c r="P69" s="20"/>
    </row>
    <row r="70" spans="2:15" ht="25.5">
      <c r="B70" s="268" t="s">
        <v>158</v>
      </c>
      <c r="C70" s="41">
        <f>O17</f>
        <v>7500000</v>
      </c>
      <c r="D70" s="41">
        <v>0</v>
      </c>
      <c r="E70" s="41">
        <v>0</v>
      </c>
      <c r="F70" s="41">
        <v>0</v>
      </c>
      <c r="G70" s="190">
        <v>0</v>
      </c>
      <c r="H70" s="4"/>
      <c r="I70" s="2"/>
      <c r="J70" s="2"/>
      <c r="K70" s="2"/>
      <c r="L70" s="2"/>
      <c r="M70" s="2"/>
      <c r="N70" s="2"/>
      <c r="O70" s="2"/>
    </row>
    <row r="71" spans="2:15" ht="25.5">
      <c r="B71" s="268" t="s">
        <v>159</v>
      </c>
      <c r="C71" s="41">
        <f>O18</f>
        <v>1500000</v>
      </c>
      <c r="D71" s="41">
        <f>Planramb!C92</f>
        <v>3000000</v>
      </c>
      <c r="E71" s="41">
        <f>Planramb!D92</f>
        <v>3000000</v>
      </c>
      <c r="F71" s="41">
        <f>Planramb!E92</f>
        <v>0</v>
      </c>
      <c r="G71" s="190">
        <f>Planramb!F92</f>
        <v>0</v>
      </c>
      <c r="H71" s="4"/>
      <c r="I71" s="2"/>
      <c r="J71" s="2"/>
      <c r="K71" s="2"/>
      <c r="L71" s="2"/>
      <c r="M71" s="2"/>
      <c r="N71" s="2"/>
      <c r="O71" s="2"/>
    </row>
    <row r="72" spans="2:15" ht="12.75">
      <c r="B72" s="268" t="s">
        <v>160</v>
      </c>
      <c r="C72" s="41">
        <f>O19</f>
        <v>37000</v>
      </c>
      <c r="D72" s="41">
        <f>IPOTEZE!C168</f>
        <v>0</v>
      </c>
      <c r="E72" s="41">
        <f>IPOTEZE!D168</f>
        <v>0</v>
      </c>
      <c r="F72" s="41">
        <f>IPOTEZE!E168</f>
        <v>0</v>
      </c>
      <c r="G72" s="190">
        <f>IPOTEZE!F168</f>
        <v>0</v>
      </c>
      <c r="H72" s="4"/>
      <c r="I72" s="2"/>
      <c r="J72" s="2"/>
      <c r="K72" s="2"/>
      <c r="L72" s="2"/>
      <c r="M72" s="2"/>
      <c r="N72" s="2"/>
      <c r="O72" s="2"/>
    </row>
    <row r="73" spans="2:15" ht="12.75">
      <c r="B73" s="268" t="s">
        <v>161</v>
      </c>
      <c r="C73" s="41">
        <v>0</v>
      </c>
      <c r="D73" s="41">
        <f>IPOTEZE!C171</f>
        <v>0</v>
      </c>
      <c r="E73" s="41">
        <f>IPOTEZE!D171</f>
        <v>250000</v>
      </c>
      <c r="F73" s="41">
        <f>IPOTEZE!E171</f>
        <v>0</v>
      </c>
      <c r="G73" s="190">
        <f>IPOTEZE!F171</f>
        <v>0</v>
      </c>
      <c r="H73" s="4"/>
      <c r="I73" s="2"/>
      <c r="J73" s="2"/>
      <c r="K73" s="2"/>
      <c r="L73" s="2"/>
      <c r="M73" s="2"/>
      <c r="N73" s="2"/>
      <c r="O73" s="2"/>
    </row>
    <row r="74" spans="2:15" ht="12.75">
      <c r="B74" s="268" t="s">
        <v>162</v>
      </c>
      <c r="C74" s="41">
        <f>O20</f>
        <v>0</v>
      </c>
      <c r="D74" s="41">
        <f>'Cont de Rezultat'!D78</f>
        <v>699323.1656073601</v>
      </c>
      <c r="E74" s="41">
        <f>'Cont de Rezultat'!E78</f>
        <v>1111502.6046531126</v>
      </c>
      <c r="F74" s="41">
        <f>'Cont de Rezultat'!F78</f>
        <v>3823174.585044072</v>
      </c>
      <c r="G74" s="190">
        <f>'Cont de Rezultat'!G78</f>
        <v>0</v>
      </c>
      <c r="H74" s="4"/>
      <c r="I74" s="2"/>
      <c r="J74" s="2"/>
      <c r="K74" s="2"/>
      <c r="L74" s="2"/>
      <c r="M74" s="2"/>
      <c r="N74" s="2"/>
      <c r="O74" s="2"/>
    </row>
    <row r="75" spans="2:15" ht="12.75">
      <c r="B75" s="268" t="s">
        <v>163</v>
      </c>
      <c r="C75" s="41">
        <f>O21</f>
        <v>21500</v>
      </c>
      <c r="D75" s="41">
        <f>'Cont de Rezultat'!E68</f>
        <v>10000</v>
      </c>
      <c r="E75" s="41">
        <f>'Cont de Rezultat'!F68</f>
        <v>30000</v>
      </c>
      <c r="F75" s="41">
        <f>'Cont de Rezultat'!G68</f>
        <v>50000</v>
      </c>
      <c r="G75" s="190">
        <f>'Cont de Rezultat'!H68</f>
        <v>0</v>
      </c>
      <c r="H75" s="4"/>
      <c r="I75" s="2"/>
      <c r="J75" s="2"/>
      <c r="K75" s="2"/>
      <c r="L75" s="2"/>
      <c r="M75" s="2"/>
      <c r="N75" s="2"/>
      <c r="O75" s="2"/>
    </row>
    <row r="76" spans="2:15" ht="12.75">
      <c r="B76" s="268" t="s">
        <v>164</v>
      </c>
      <c r="C76" s="41">
        <f>O22</f>
        <v>1128125</v>
      </c>
      <c r="D76" s="41">
        <f>Planramb!C93+IPOTEZE!C121</f>
        <v>695250</v>
      </c>
      <c r="E76" s="41">
        <f>Planramb!D93+IPOTEZE!D121</f>
        <v>268750</v>
      </c>
      <c r="F76" s="41">
        <f>Planramb!E93+IPOTEZE!E121</f>
        <v>12000</v>
      </c>
      <c r="G76" s="190">
        <f>Planramb!F93+IPOTEZE!F121</f>
        <v>0</v>
      </c>
      <c r="H76" s="4"/>
      <c r="I76" s="2"/>
      <c r="J76" s="2"/>
      <c r="K76" s="2"/>
      <c r="L76" s="2"/>
      <c r="M76" s="2"/>
      <c r="N76" s="2"/>
      <c r="O76" s="2"/>
    </row>
    <row r="77" spans="1:16" ht="12.75">
      <c r="A77" s="26"/>
      <c r="B77" s="278" t="s">
        <v>165</v>
      </c>
      <c r="C77" s="42">
        <f>C69+C66+C60</f>
        <v>3091840.896849801</v>
      </c>
      <c r="D77" s="42">
        <f>D69+D66+D60</f>
        <v>441274.907258139</v>
      </c>
      <c r="E77" s="42">
        <f>E69+E66+E60</f>
        <v>1119615.8697804278</v>
      </c>
      <c r="F77" s="42">
        <f>F69+F66+F60</f>
        <v>-961129.9593736995</v>
      </c>
      <c r="G77" s="192">
        <f>G69+G66+G60</f>
        <v>3631528.308336405</v>
      </c>
      <c r="H77" s="26"/>
      <c r="I77" s="20"/>
      <c r="J77" s="20"/>
      <c r="K77" s="20"/>
      <c r="L77" s="20"/>
      <c r="M77" s="20"/>
      <c r="N77" s="20"/>
      <c r="O77" s="20"/>
      <c r="P77" s="20"/>
    </row>
    <row r="78" spans="2:15" ht="12.75">
      <c r="B78" s="279" t="s">
        <v>166</v>
      </c>
      <c r="C78" s="41">
        <f>C24</f>
        <v>100000</v>
      </c>
      <c r="D78" s="41">
        <f>C79</f>
        <v>3191840.896849801</v>
      </c>
      <c r="E78" s="41">
        <f>D79</f>
        <v>3633115.80410794</v>
      </c>
      <c r="F78" s="41">
        <f>E79</f>
        <v>4752731.673888368</v>
      </c>
      <c r="G78" s="190">
        <f>F79</f>
        <v>3791601.714514668</v>
      </c>
      <c r="H78" s="4"/>
      <c r="I78" s="2"/>
      <c r="J78" s="2"/>
      <c r="K78" s="2"/>
      <c r="L78" s="2"/>
      <c r="M78" s="2"/>
      <c r="N78" s="2"/>
      <c r="O78" s="2"/>
    </row>
    <row r="79" spans="1:16" ht="16.5" thickBot="1">
      <c r="A79" s="26"/>
      <c r="B79" s="451" t="s">
        <v>167</v>
      </c>
      <c r="C79" s="206">
        <f>C77+C78</f>
        <v>3191840.896849801</v>
      </c>
      <c r="D79" s="206">
        <f>D77+D78</f>
        <v>3633115.80410794</v>
      </c>
      <c r="E79" s="206">
        <f>E77+E78</f>
        <v>4752731.673888368</v>
      </c>
      <c r="F79" s="206">
        <f>F77+F78</f>
        <v>3791601.714514668</v>
      </c>
      <c r="G79" s="206">
        <f>G77+G78</f>
        <v>7423130.022851073</v>
      </c>
      <c r="H79" s="452">
        <f>IF(OR(C79&lt;0,D79&lt;0,E79&lt;0,F79&lt;0,G79&lt;0),"Trebuie găsite modalităţi de acoperire a deficitului de trezorerie","")</f>
      </c>
      <c r="I79" s="20"/>
      <c r="J79" s="20"/>
      <c r="K79" s="20"/>
      <c r="L79" s="20"/>
      <c r="M79" s="20"/>
      <c r="N79" s="20"/>
      <c r="O79" s="20"/>
      <c r="P79" s="20"/>
    </row>
    <row r="80" spans="1:15" s="249" customFormat="1" ht="25.5">
      <c r="A80" s="318"/>
      <c r="B80" s="450" t="s">
        <v>280</v>
      </c>
      <c r="C80" s="320">
        <f>C77+C74</f>
        <v>3091840.896849801</v>
      </c>
      <c r="D80" s="320">
        <f>D77+D74</f>
        <v>1140598.0728654992</v>
      </c>
      <c r="E80" s="320">
        <f>E77+E74</f>
        <v>2231118.4744335404</v>
      </c>
      <c r="F80" s="320">
        <f>F77+F74</f>
        <v>2862044.6256703725</v>
      </c>
      <c r="G80" s="320">
        <f>G77+G74</f>
        <v>3631528.308336405</v>
      </c>
      <c r="H80" s="319"/>
      <c r="I80" s="319"/>
      <c r="J80" s="248"/>
      <c r="K80" s="248"/>
      <c r="L80" s="248"/>
      <c r="M80" s="248"/>
      <c r="N80" s="248"/>
      <c r="O80" s="248"/>
    </row>
    <row r="81" spans="1:15" s="249" customFormat="1" ht="12.75">
      <c r="A81" s="318"/>
      <c r="B81" s="319" t="s">
        <v>281</v>
      </c>
      <c r="C81" s="320">
        <f>C76+C71</f>
        <v>2628125</v>
      </c>
      <c r="D81" s="320">
        <f>D76+D71</f>
        <v>3695250</v>
      </c>
      <c r="E81" s="320">
        <f>E76+E71</f>
        <v>3268750</v>
      </c>
      <c r="F81" s="320">
        <f>F76+F71</f>
        <v>12000</v>
      </c>
      <c r="G81" s="320">
        <f>G76+G71</f>
        <v>0</v>
      </c>
      <c r="H81" s="319"/>
      <c r="I81" s="319"/>
      <c r="J81" s="248"/>
      <c r="K81" s="248"/>
      <c r="L81" s="248"/>
      <c r="M81" s="248"/>
      <c r="N81" s="248"/>
      <c r="O81" s="248"/>
    </row>
    <row r="82" spans="2:15" ht="12.75" hidden="1">
      <c r="B82" s="478" t="s">
        <v>138</v>
      </c>
      <c r="C82" s="479" t="s">
        <v>168</v>
      </c>
      <c r="D82" s="479" t="s">
        <v>8</v>
      </c>
      <c r="E82" s="479" t="s">
        <v>12</v>
      </c>
      <c r="F82" s="479" t="s">
        <v>13</v>
      </c>
      <c r="G82" s="479" t="s">
        <v>15</v>
      </c>
      <c r="H82" s="28"/>
      <c r="I82" s="2"/>
      <c r="J82" s="2"/>
      <c r="K82" s="2"/>
      <c r="L82" s="2"/>
      <c r="M82" s="2"/>
      <c r="N82" s="2"/>
      <c r="O82" s="2"/>
    </row>
    <row r="83" spans="2:15" ht="12.75" hidden="1">
      <c r="B83" s="480" t="s">
        <v>140</v>
      </c>
      <c r="C83" s="481">
        <f>Bilant!C80+Bilant!C81+Bilant!C82</f>
        <v>1228894.8432288</v>
      </c>
      <c r="D83" s="481">
        <f>Bilant!D80+Bilant!D81+Bilant!D82</f>
        <v>1674135.1259812042</v>
      </c>
      <c r="E83" s="481">
        <f>Bilant!E80+Bilant!E81+Bilant!E82</f>
        <v>1815358.213024248</v>
      </c>
      <c r="F83" s="481">
        <f>Bilant!F80+Bilant!F81+Bilant!F82</f>
        <v>1937145.3739819985</v>
      </c>
      <c r="G83" s="481">
        <f>Bilant!G80+Bilant!G81+Bilant!G82</f>
        <v>2098299.9971471718</v>
      </c>
      <c r="H83" s="2"/>
      <c r="I83" s="2"/>
      <c r="J83" s="2"/>
      <c r="K83" s="2"/>
      <c r="L83" s="2"/>
      <c r="M83" s="2"/>
      <c r="N83" s="2"/>
      <c r="O83" s="2"/>
    </row>
    <row r="84" spans="2:15" ht="12.75" hidden="1">
      <c r="B84" s="480" t="s">
        <v>141</v>
      </c>
      <c r="C84" s="481">
        <f>Bilant!C100+Bilant!C103</f>
        <v>303345.05061300006</v>
      </c>
      <c r="D84" s="481">
        <f>Bilant!D100+Bilant!D103</f>
        <v>197694.457862965</v>
      </c>
      <c r="E84" s="481">
        <f>Bilant!E100+Bilant!E103</f>
        <v>255943.44429127968</v>
      </c>
      <c r="F84" s="481">
        <f>Bilant!F100+Bilant!F103</f>
        <v>293460.9364552654</v>
      </c>
      <c r="G84" s="481">
        <f>Bilant!G100+Bilant!G103</f>
        <v>329089.5583966975</v>
      </c>
      <c r="H84" s="2"/>
      <c r="I84" s="2"/>
      <c r="J84" s="2"/>
      <c r="K84" s="2"/>
      <c r="L84" s="2"/>
      <c r="M84" s="2"/>
      <c r="N84" s="2"/>
      <c r="O84" s="2"/>
    </row>
    <row r="85" spans="2:15" ht="12.75" hidden="1">
      <c r="B85" s="482" t="s">
        <v>142</v>
      </c>
      <c r="C85" s="483">
        <f>C83-C84</f>
        <v>925549.7926157999</v>
      </c>
      <c r="D85" s="483">
        <f>D83-D84</f>
        <v>1476440.6681182391</v>
      </c>
      <c r="E85" s="483">
        <f>E83-E84</f>
        <v>1559414.7687329683</v>
      </c>
      <c r="F85" s="483">
        <f>F83-F84</f>
        <v>1643684.4375267331</v>
      </c>
      <c r="G85" s="483">
        <f>G83-G84</f>
        <v>1769210.4387504742</v>
      </c>
      <c r="H85" s="20"/>
      <c r="I85" s="2"/>
      <c r="J85" s="2"/>
      <c r="K85" s="2"/>
      <c r="L85" s="2"/>
      <c r="M85" s="2"/>
      <c r="N85" s="2"/>
      <c r="O85" s="2"/>
    </row>
    <row r="86" spans="2:15" ht="12.75" hidden="1">
      <c r="B86" s="482" t="s">
        <v>143</v>
      </c>
      <c r="C86" s="483"/>
      <c r="D86" s="483">
        <f>C85-D85</f>
        <v>-550890.8755024392</v>
      </c>
      <c r="E86" s="483">
        <f>D85-E85</f>
        <v>-82974.1006147291</v>
      </c>
      <c r="F86" s="483">
        <f>E85-F85</f>
        <v>-84269.6687937649</v>
      </c>
      <c r="G86" s="483">
        <f>F85-G85</f>
        <v>-125526.0012237411</v>
      </c>
      <c r="H86" s="20"/>
      <c r="I86" s="2"/>
      <c r="J86" s="2"/>
      <c r="K86" s="2"/>
      <c r="L86" s="2"/>
      <c r="M86" s="2"/>
      <c r="N86" s="2"/>
      <c r="O86" s="2"/>
    </row>
    <row r="87" spans="2:7" ht="12.75" hidden="1">
      <c r="B87" s="484"/>
      <c r="C87" s="484"/>
      <c r="D87" s="484"/>
      <c r="E87" s="484"/>
      <c r="F87" s="484"/>
      <c r="G87" s="484"/>
    </row>
    <row r="88" spans="2:7" ht="12.75">
      <c r="B88" s="484"/>
      <c r="C88" s="484"/>
      <c r="D88" s="484"/>
      <c r="E88" s="484"/>
      <c r="F88" s="484"/>
      <c r="G88" s="484"/>
    </row>
    <row r="89" ht="12.75"/>
    <row r="94" ht="12.75"/>
  </sheetData>
  <sheetProtection password="CD2C" sheet="1" objects="1" scenarios="1"/>
  <conditionalFormatting sqref="C79:G79 C25:N25">
    <cfRule type="cellIs" priority="1" dxfId="0" operator="lessThan" stopIfTrue="1">
      <formula>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O170"/>
  <sheetViews>
    <sheetView showGridLines="0" showRowColHeaders="0" zoomScalePageLayoutView="0" workbookViewId="0" topLeftCell="A2">
      <selection activeCell="F17" sqref="F17"/>
    </sheetView>
  </sheetViews>
  <sheetFormatPr defaultColWidth="8.8515625" defaultRowHeight="12.75"/>
  <cols>
    <col min="1" max="1" width="7.57421875" style="3" customWidth="1"/>
    <col min="2" max="2" width="28.57421875" style="3" customWidth="1"/>
    <col min="3" max="6" width="12.7109375" style="3" bestFit="1" customWidth="1"/>
    <col min="7" max="7" width="15.28125" style="3" customWidth="1"/>
    <col min="8" max="16384" width="8.8515625" style="3" customWidth="1"/>
  </cols>
  <sheetData>
    <row r="2" spans="2:5" ht="23.25">
      <c r="B2" s="436" t="s">
        <v>325</v>
      </c>
      <c r="C2" s="437"/>
      <c r="D2" s="437"/>
      <c r="E2" s="437"/>
    </row>
    <row r="3" ht="12.75">
      <c r="B3" s="7"/>
    </row>
    <row r="6" spans="1:15" ht="13.5" customHeight="1">
      <c r="A6" s="2"/>
      <c r="B6" s="281"/>
      <c r="D6" s="2"/>
      <c r="O6" s="14"/>
    </row>
    <row r="7" spans="1:15" ht="23.25">
      <c r="A7" s="2"/>
      <c r="B7" s="280" t="s">
        <v>257</v>
      </c>
      <c r="C7" s="53"/>
      <c r="D7" s="218"/>
      <c r="E7" s="53"/>
      <c r="F7" s="53"/>
      <c r="G7" s="53"/>
      <c r="H7" s="53"/>
      <c r="I7" s="53"/>
      <c r="O7" s="14"/>
    </row>
    <row r="8" spans="1:15" ht="24" thickBot="1">
      <c r="A8" s="2"/>
      <c r="B8" s="299"/>
      <c r="C8" s="237"/>
      <c r="D8" s="283"/>
      <c r="E8" s="237"/>
      <c r="F8" s="237"/>
      <c r="G8" s="237"/>
      <c r="H8" s="237"/>
      <c r="I8" s="237"/>
      <c r="O8" s="14"/>
    </row>
    <row r="9" spans="1:15" ht="12.75">
      <c r="A9" s="4"/>
      <c r="B9" s="300" t="s">
        <v>220</v>
      </c>
      <c r="C9" s="301" t="s">
        <v>221</v>
      </c>
      <c r="D9" s="301" t="s">
        <v>222</v>
      </c>
      <c r="E9" s="301" t="s">
        <v>223</v>
      </c>
      <c r="F9" s="301" t="s">
        <v>224</v>
      </c>
      <c r="G9" s="302" t="s">
        <v>225</v>
      </c>
      <c r="O9" s="14"/>
    </row>
    <row r="10" spans="1:15" ht="25.5">
      <c r="A10" s="4"/>
      <c r="B10" s="303" t="s">
        <v>169</v>
      </c>
      <c r="C10" s="4"/>
      <c r="D10" s="4"/>
      <c r="E10" s="4"/>
      <c r="F10" s="36"/>
      <c r="G10" s="304"/>
      <c r="O10" s="14"/>
    </row>
    <row r="11" spans="1:15" ht="18">
      <c r="A11" s="4"/>
      <c r="B11" s="305" t="s">
        <v>226</v>
      </c>
      <c r="C11" s="288">
        <f>C51</f>
        <v>3.147765362366438</v>
      </c>
      <c r="D11" s="288">
        <f>D51</f>
        <v>3.489519099866502</v>
      </c>
      <c r="E11" s="288">
        <f>E51</f>
        <v>1.519737102085565</v>
      </c>
      <c r="F11" s="288">
        <f>F51</f>
        <v>10.094954217057994</v>
      </c>
      <c r="G11" s="288">
        <f>G51</f>
        <v>1.4387890732825603</v>
      </c>
      <c r="H11" s="360">
        <f>IF(OR(C11&lt;1.2,D11&lt;1.2,E11&lt;1.2,F11&lt;1.2,G11&lt;1.2),"În general Lichiditatea Globală minim acceptată se încadrează între 1.2 - 1.8","")</f>
      </c>
      <c r="O11" s="14"/>
    </row>
    <row r="12" spans="1:15" ht="18">
      <c r="A12" s="4"/>
      <c r="B12" s="306" t="s">
        <v>227</v>
      </c>
      <c r="C12" s="288">
        <f>C59</f>
        <v>2.2727362158747337</v>
      </c>
      <c r="D12" s="288">
        <f>D59</f>
        <v>2.3887747456193025</v>
      </c>
      <c r="E12" s="288">
        <f>E59</f>
        <v>1.099696073809454</v>
      </c>
      <c r="F12" s="288">
        <f>F59</f>
        <v>6.681399113289978</v>
      </c>
      <c r="G12" s="288">
        <f>G59</f>
        <v>1.1217136862846802</v>
      </c>
      <c r="H12" s="360">
        <f>IF(OR(C12&lt;0.2,D12&lt;0.2,E12&lt;0.2,F12&lt;0.2,G12&lt;0.2),"În general Lichiditatea Imediată minim acceptată se încadrează între 0.2 - 0.3","")</f>
      </c>
      <c r="O12" s="14"/>
    </row>
    <row r="13" spans="1:15" ht="25.5">
      <c r="A13" s="4"/>
      <c r="B13" s="467" t="s">
        <v>372</v>
      </c>
      <c r="C13" s="361">
        <f>IF(OR(C14&gt;1,D14&gt;1,E14&gt;1,F14&gt;1,G14&gt;1),"Rata Datoriilor trebuie să fie mai mică egală cu 1","")</f>
      </c>
      <c r="D13" s="286"/>
      <c r="E13" s="286"/>
      <c r="F13" s="287"/>
      <c r="G13" s="307"/>
      <c r="O13" s="14"/>
    </row>
    <row r="14" spans="1:15" ht="12.75">
      <c r="A14" s="4"/>
      <c r="B14" s="306" t="s">
        <v>228</v>
      </c>
      <c r="C14" s="289">
        <f>C69</f>
        <v>0.3435243335738221</v>
      </c>
      <c r="D14" s="289">
        <f>D69</f>
        <v>0.2054469571248125</v>
      </c>
      <c r="E14" s="289">
        <f>E69</f>
        <v>0.18930125302227394</v>
      </c>
      <c r="F14" s="289">
        <f>F69</f>
        <v>0.02285417293962829</v>
      </c>
      <c r="G14" s="289">
        <f>G69</f>
        <v>0.2142963024558102</v>
      </c>
      <c r="O14" s="14"/>
    </row>
    <row r="15" spans="1:15" ht="12.75">
      <c r="A15" s="4"/>
      <c r="B15" s="309" t="s">
        <v>229</v>
      </c>
      <c r="C15" s="291">
        <f>C79</f>
        <v>0.4240333248332313</v>
      </c>
      <c r="D15" s="292">
        <f>D79</f>
        <v>0.1715821218800158</v>
      </c>
      <c r="E15" s="292">
        <f>E79</f>
        <v>0</v>
      </c>
      <c r="F15" s="292">
        <f>F79</f>
        <v>0</v>
      </c>
      <c r="G15" s="310">
        <f>G79</f>
        <v>0</v>
      </c>
      <c r="O15" s="14"/>
    </row>
    <row r="16" spans="1:15" ht="38.25">
      <c r="A16" s="4"/>
      <c r="B16" s="309" t="s">
        <v>361</v>
      </c>
      <c r="C16" s="291">
        <f>C87</f>
        <v>0.5232857075174655</v>
      </c>
      <c r="D16" s="291">
        <f>D87</f>
        <v>0.2585692156956288</v>
      </c>
      <c r="E16" s="291">
        <f>E87</f>
        <v>0.23350381843808987</v>
      </c>
      <c r="F16" s="291">
        <f>F87</f>
        <v>0.02338870238885672</v>
      </c>
      <c r="G16" s="291">
        <f>G87</f>
        <v>0.27274442404384597</v>
      </c>
      <c r="O16" s="14"/>
    </row>
    <row r="17" spans="1:15" ht="25.5">
      <c r="A17" s="4"/>
      <c r="B17" s="306" t="s">
        <v>230</v>
      </c>
      <c r="C17" s="293">
        <f>C99</f>
        <v>2.2031978834273107</v>
      </c>
      <c r="D17" s="294">
        <f>D99</f>
        <v>1.3913159917765916</v>
      </c>
      <c r="E17" s="294">
        <f>E99</f>
        <v>1.6417028262767406</v>
      </c>
      <c r="F17" s="294">
        <f>F99</f>
        <v>480.54419051946576</v>
      </c>
      <c r="G17" s="466" t="str">
        <f>G99</f>
        <v> Serv. dat este nul</v>
      </c>
      <c r="O17" s="14"/>
    </row>
    <row r="18" spans="1:15" ht="18">
      <c r="A18" s="4"/>
      <c r="B18" s="303" t="s">
        <v>231</v>
      </c>
      <c r="C18" s="361">
        <f>IF(OR(C16&gt;1,D16&gt;1,E16&gt;1,F16&gt;1,G16&gt;1),"Un astfel de Grad de indatorare indică un risc mare pentru Creditori","")</f>
      </c>
      <c r="D18" s="286"/>
      <c r="E18" s="286"/>
      <c r="F18" s="287"/>
      <c r="G18" s="307"/>
      <c r="O18" s="14"/>
    </row>
    <row r="19" spans="1:15" ht="38.25">
      <c r="A19" s="4"/>
      <c r="B19" s="306" t="s">
        <v>362</v>
      </c>
      <c r="C19" s="289">
        <f>C110</f>
        <v>61.174493498053096</v>
      </c>
      <c r="D19" s="290">
        <f>D110</f>
        <v>70.63148879954318</v>
      </c>
      <c r="E19" s="290">
        <f>E110</f>
        <v>84.05036328945799</v>
      </c>
      <c r="F19" s="290">
        <f>F110</f>
        <v>68.70056004296195</v>
      </c>
      <c r="G19" s="308">
        <f>G110</f>
        <v>109.72695991236466</v>
      </c>
      <c r="O19" s="14"/>
    </row>
    <row r="20" spans="1:15" ht="25.5">
      <c r="A20" s="4"/>
      <c r="B20" s="306" t="s">
        <v>363</v>
      </c>
      <c r="C20" s="291">
        <f>C119</f>
        <v>9.07308029522571</v>
      </c>
      <c r="D20" s="292">
        <f>D119</f>
        <v>6.653645833333334</v>
      </c>
      <c r="E20" s="292">
        <f>E119</f>
        <v>6.653645833333334</v>
      </c>
      <c r="F20" s="292">
        <f>F119</f>
        <v>6.653645833333332</v>
      </c>
      <c r="G20" s="310">
        <f>G119</f>
        <v>6.653645833333334</v>
      </c>
      <c r="O20" s="14"/>
    </row>
    <row r="21" spans="1:15" ht="25.5">
      <c r="A21" s="4"/>
      <c r="B21" s="306" t="s">
        <v>364</v>
      </c>
      <c r="C21" s="291">
        <f>C128</f>
        <v>25.92308655778774</v>
      </c>
      <c r="D21" s="292">
        <f>D128</f>
        <v>19.010416666666668</v>
      </c>
      <c r="E21" s="292">
        <f>E128</f>
        <v>19.010416666666668</v>
      </c>
      <c r="F21" s="292">
        <f>F128</f>
        <v>19.010416666666668</v>
      </c>
      <c r="G21" s="310">
        <f>G128</f>
        <v>19.010416666666668</v>
      </c>
      <c r="O21" s="14"/>
    </row>
    <row r="22" spans="1:15" ht="25.5">
      <c r="A22" s="4"/>
      <c r="B22" s="306" t="s">
        <v>365</v>
      </c>
      <c r="C22" s="293">
        <f>C137</f>
        <v>63.36967173083688</v>
      </c>
      <c r="D22" s="294">
        <f>D137</f>
        <v>54.804804804804796</v>
      </c>
      <c r="E22" s="294">
        <f>E137</f>
        <v>54.8048048048048</v>
      </c>
      <c r="F22" s="294">
        <f>F137</f>
        <v>54.8048048048048</v>
      </c>
      <c r="G22" s="311">
        <f>G137</f>
        <v>54.80480480480482</v>
      </c>
      <c r="O22" s="14"/>
    </row>
    <row r="23" spans="1:15" ht="25.5">
      <c r="A23" s="4"/>
      <c r="B23" s="303" t="s">
        <v>232</v>
      </c>
      <c r="C23" s="286"/>
      <c r="D23" s="286"/>
      <c r="E23" s="286"/>
      <c r="F23" s="287"/>
      <c r="G23" s="307"/>
      <c r="O23" s="14"/>
    </row>
    <row r="24" spans="1:15" ht="25.5">
      <c r="A24" s="4"/>
      <c r="B24" s="306" t="s">
        <v>368</v>
      </c>
      <c r="C24" s="295">
        <f>C147</f>
        <v>25.237657934510523</v>
      </c>
      <c r="D24" s="296">
        <f>D147</f>
        <v>21.797187990099648</v>
      </c>
      <c r="E24" s="296">
        <f>E147</f>
        <v>22.113110128528266</v>
      </c>
      <c r="F24" s="296">
        <f>F147</f>
        <v>22.38322439131329</v>
      </c>
      <c r="G24" s="312">
        <f>G147</f>
        <v>22.562550446768512</v>
      </c>
      <c r="O24" s="14"/>
    </row>
    <row r="25" spans="1:15" ht="12.75">
      <c r="A25" s="4"/>
      <c r="B25" s="306" t="s">
        <v>369</v>
      </c>
      <c r="C25" s="297">
        <f>C154</f>
        <v>17.675414978656683</v>
      </c>
      <c r="D25" s="298">
        <f>D154</f>
        <v>16.21087101976948</v>
      </c>
      <c r="E25" s="298">
        <f>E154</f>
        <v>17.8718911193902</v>
      </c>
      <c r="F25" s="298">
        <f>F154</f>
        <v>18.906783168078615</v>
      </c>
      <c r="G25" s="313">
        <f>G154</f>
        <v>18.95254237528555</v>
      </c>
      <c r="O25" s="14"/>
    </row>
    <row r="26" spans="1:15" ht="25.5">
      <c r="A26" s="4"/>
      <c r="B26" s="306" t="s">
        <v>370</v>
      </c>
      <c r="C26" s="291">
        <f>C161</f>
        <v>32.948480782821036</v>
      </c>
      <c r="D26" s="292">
        <f>D161</f>
        <v>25.428530050872716</v>
      </c>
      <c r="E26" s="292">
        <f>E161</f>
        <v>27.541413939611846</v>
      </c>
      <c r="F26" s="292">
        <f>F161</f>
        <v>23.717052336352058</v>
      </c>
      <c r="G26" s="310">
        <f>G161</f>
        <v>24.740017677073237</v>
      </c>
      <c r="O26" s="14"/>
    </row>
    <row r="27" spans="1:15" ht="26.25" thickBot="1">
      <c r="A27" s="4"/>
      <c r="B27" s="465" t="s">
        <v>371</v>
      </c>
      <c r="C27" s="314">
        <f>C169</f>
        <v>30.98374228880135</v>
      </c>
      <c r="D27" s="315">
        <f>D169</f>
        <v>27.212230230827654</v>
      </c>
      <c r="E27" s="315">
        <f>E169</f>
        <v>27.757850842935596</v>
      </c>
      <c r="F27" s="315">
        <f>F169</f>
        <v>27.63763518140167</v>
      </c>
      <c r="G27" s="316">
        <f>G169</f>
        <v>23.14086115022031</v>
      </c>
      <c r="O27" s="14"/>
    </row>
    <row r="29" ht="12.75"/>
    <row r="30" ht="12.75"/>
    <row r="32" ht="12.75"/>
    <row r="33" ht="12.75"/>
    <row r="34" s="282" customFormat="1" ht="12.75"/>
    <row r="35" s="282" customFormat="1" ht="12.75"/>
    <row r="36" s="282" customFormat="1" ht="12.75"/>
    <row r="37" s="282" customFormat="1" ht="12.75"/>
    <row r="38" s="282" customFormat="1" ht="12.75"/>
    <row r="39" s="282" customFormat="1" ht="12.75"/>
    <row r="40" s="282" customFormat="1" ht="12.75"/>
    <row r="41" s="282" customFormat="1" ht="12.75"/>
    <row r="42" spans="1:15" s="282" customFormat="1" ht="12.75">
      <c r="A42" s="283"/>
      <c r="B42" s="462"/>
      <c r="C42" s="463"/>
      <c r="D42" s="339"/>
      <c r="E42" s="463"/>
      <c r="F42" s="463"/>
      <c r="G42" s="463"/>
      <c r="H42" s="463"/>
      <c r="I42" s="463"/>
      <c r="J42" s="463"/>
      <c r="K42" s="463"/>
      <c r="L42" s="463"/>
      <c r="O42" s="284"/>
    </row>
    <row r="43" spans="1:15" s="282" customFormat="1" ht="12.75">
      <c r="A43" s="319"/>
      <c r="B43" s="317"/>
      <c r="C43" s="320"/>
      <c r="D43" s="319"/>
      <c r="E43" s="318"/>
      <c r="F43" s="318"/>
      <c r="G43" s="318"/>
      <c r="H43" s="318"/>
      <c r="I43" s="463"/>
      <c r="J43" s="463"/>
      <c r="K43" s="463"/>
      <c r="L43" s="463"/>
      <c r="O43" s="284"/>
    </row>
    <row r="44" spans="1:15" s="282" customFormat="1" ht="12.75">
      <c r="A44" s="319"/>
      <c r="B44" s="321" t="s">
        <v>169</v>
      </c>
      <c r="C44" s="320"/>
      <c r="D44" s="319"/>
      <c r="E44" s="318"/>
      <c r="F44" s="318"/>
      <c r="G44" s="318"/>
      <c r="H44" s="318"/>
      <c r="I44" s="463"/>
      <c r="J44" s="463"/>
      <c r="K44" s="463"/>
      <c r="L44" s="463"/>
      <c r="O44" s="285"/>
    </row>
    <row r="45" spans="1:15" s="282" customFormat="1" ht="12.75">
      <c r="A45" s="319"/>
      <c r="B45" s="322"/>
      <c r="C45" s="320"/>
      <c r="D45" s="319"/>
      <c r="E45" s="318"/>
      <c r="F45" s="318"/>
      <c r="G45" s="318"/>
      <c r="H45" s="318"/>
      <c r="I45" s="463"/>
      <c r="J45" s="463"/>
      <c r="K45" s="463"/>
      <c r="L45" s="463"/>
      <c r="O45" s="284"/>
    </row>
    <row r="46" spans="1:15" s="282" customFormat="1" ht="12.75">
      <c r="A46" s="319"/>
      <c r="B46" s="323" t="s">
        <v>170</v>
      </c>
      <c r="C46" s="320"/>
      <c r="D46" s="319"/>
      <c r="E46" s="318"/>
      <c r="F46" s="318"/>
      <c r="G46" s="318"/>
      <c r="H46" s="318"/>
      <c r="I46" s="463"/>
      <c r="J46" s="463"/>
      <c r="K46" s="463"/>
      <c r="L46" s="463"/>
      <c r="O46" s="284"/>
    </row>
    <row r="47" spans="1:15" s="282" customFormat="1" ht="12.75">
      <c r="A47" s="319"/>
      <c r="B47" s="317"/>
      <c r="C47" s="320"/>
      <c r="D47" s="319"/>
      <c r="E47" s="318"/>
      <c r="F47" s="318"/>
      <c r="G47" s="318"/>
      <c r="H47" s="318"/>
      <c r="I47" s="463"/>
      <c r="J47" s="463"/>
      <c r="K47" s="463"/>
      <c r="L47" s="463"/>
      <c r="O47" s="284"/>
    </row>
    <row r="48" spans="1:15" s="282" customFormat="1" ht="12.75">
      <c r="A48" s="319"/>
      <c r="B48" s="323" t="s">
        <v>171</v>
      </c>
      <c r="C48" s="324" t="s">
        <v>7</v>
      </c>
      <c r="D48" s="324" t="s">
        <v>8</v>
      </c>
      <c r="E48" s="324" t="s">
        <v>12</v>
      </c>
      <c r="F48" s="324" t="s">
        <v>13</v>
      </c>
      <c r="G48" s="324" t="s">
        <v>15</v>
      </c>
      <c r="H48" s="318"/>
      <c r="I48" s="464"/>
      <c r="J48" s="464"/>
      <c r="K48" s="464"/>
      <c r="L48" s="464"/>
      <c r="O48" s="284"/>
    </row>
    <row r="49" spans="1:15" s="282" customFormat="1" ht="12.75">
      <c r="A49" s="319"/>
      <c r="B49" s="325" t="s">
        <v>140</v>
      </c>
      <c r="C49" s="320">
        <f>Bilant!C84</f>
        <v>4420735.740078601</v>
      </c>
      <c r="D49" s="320">
        <f>Bilant!D84</f>
        <v>5307250.930089144</v>
      </c>
      <c r="E49" s="320">
        <f>Bilant!E84</f>
        <v>6568089.886912616</v>
      </c>
      <c r="F49" s="320">
        <f>Bilant!F84</f>
        <v>5728747.088496666</v>
      </c>
      <c r="G49" s="320">
        <f>Bilant!G84</f>
        <v>9521430.019998245</v>
      </c>
      <c r="H49" s="318"/>
      <c r="I49" s="463"/>
      <c r="J49" s="463"/>
      <c r="K49" s="463"/>
      <c r="L49" s="463"/>
      <c r="O49" s="284"/>
    </row>
    <row r="50" spans="1:15" s="282" customFormat="1" ht="12.75">
      <c r="A50" s="319"/>
      <c r="B50" s="326" t="s">
        <v>172</v>
      </c>
      <c r="C50" s="320">
        <f>Bilant!C104</f>
        <v>1404404.4683035603</v>
      </c>
      <c r="D50" s="320">
        <f>Bilant!D104</f>
        <v>1520911.8443547657</v>
      </c>
      <c r="E50" s="320">
        <f>Bilant!E104</f>
        <v>4321859.272830213</v>
      </c>
      <c r="F50" s="320">
        <f>Bilant!F104</f>
        <v>567486.1881806744</v>
      </c>
      <c r="G50" s="320">
        <f>Bilant!G104</f>
        <v>6617669.119682252</v>
      </c>
      <c r="H50" s="318"/>
      <c r="I50" s="463"/>
      <c r="J50" s="463"/>
      <c r="K50" s="463"/>
      <c r="L50" s="463"/>
      <c r="O50" s="284"/>
    </row>
    <row r="51" spans="1:15" s="282" customFormat="1" ht="12.75">
      <c r="A51" s="319"/>
      <c r="B51" s="327" t="s">
        <v>173</v>
      </c>
      <c r="C51" s="320">
        <f>C49/C50</f>
        <v>3.147765362366438</v>
      </c>
      <c r="D51" s="320">
        <f>D49/D50</f>
        <v>3.489519099866502</v>
      </c>
      <c r="E51" s="320">
        <f>E49/E50</f>
        <v>1.519737102085565</v>
      </c>
      <c r="F51" s="320">
        <f>F49/F50</f>
        <v>10.094954217057994</v>
      </c>
      <c r="G51" s="320">
        <f>G49/G50</f>
        <v>1.4387890732825603</v>
      </c>
      <c r="H51" s="318"/>
      <c r="I51" s="463"/>
      <c r="J51" s="463"/>
      <c r="K51" s="463"/>
      <c r="L51" s="463"/>
      <c r="O51" s="284"/>
    </row>
    <row r="52" spans="1:15" s="282" customFormat="1" ht="12.75">
      <c r="A52" s="319"/>
      <c r="B52" s="317"/>
      <c r="C52" s="320"/>
      <c r="D52" s="319"/>
      <c r="E52" s="318"/>
      <c r="F52" s="318"/>
      <c r="G52" s="318"/>
      <c r="H52" s="318"/>
      <c r="I52" s="463"/>
      <c r="J52" s="463"/>
      <c r="K52" s="463"/>
      <c r="L52" s="463"/>
      <c r="O52" s="284"/>
    </row>
    <row r="53" spans="1:15" s="282" customFormat="1" ht="12.75">
      <c r="A53" s="319"/>
      <c r="B53" s="317"/>
      <c r="C53" s="320"/>
      <c r="D53" s="319"/>
      <c r="E53" s="318"/>
      <c r="F53" s="318"/>
      <c r="G53" s="318"/>
      <c r="H53" s="318"/>
      <c r="I53" s="463"/>
      <c r="J53" s="463"/>
      <c r="K53" s="463"/>
      <c r="L53" s="463"/>
      <c r="O53" s="284"/>
    </row>
    <row r="54" spans="1:15" s="282" customFormat="1" ht="12.75">
      <c r="A54" s="319"/>
      <c r="B54" s="328" t="s">
        <v>174</v>
      </c>
      <c r="C54" s="320"/>
      <c r="D54" s="319"/>
      <c r="E54" s="318"/>
      <c r="F54" s="318"/>
      <c r="G54" s="318"/>
      <c r="H54" s="318"/>
      <c r="I54" s="463"/>
      <c r="J54" s="463"/>
      <c r="K54" s="463"/>
      <c r="L54" s="463"/>
      <c r="O54" s="284"/>
    </row>
    <row r="55" spans="1:15" s="282" customFormat="1" ht="12.75">
      <c r="A55" s="319"/>
      <c r="B55" s="317"/>
      <c r="C55" s="320"/>
      <c r="D55" s="319"/>
      <c r="E55" s="318"/>
      <c r="F55" s="318"/>
      <c r="G55" s="318"/>
      <c r="H55" s="318"/>
      <c r="I55" s="463"/>
      <c r="J55" s="463"/>
      <c r="K55" s="463"/>
      <c r="L55" s="463"/>
      <c r="O55" s="284"/>
    </row>
    <row r="56" spans="1:15" s="282" customFormat="1" ht="12.75">
      <c r="A56" s="319"/>
      <c r="B56" s="323" t="s">
        <v>171</v>
      </c>
      <c r="C56" s="324" t="s">
        <v>7</v>
      </c>
      <c r="D56" s="324" t="s">
        <v>8</v>
      </c>
      <c r="E56" s="324" t="s">
        <v>12</v>
      </c>
      <c r="F56" s="324" t="s">
        <v>13</v>
      </c>
      <c r="G56" s="324" t="s">
        <v>15</v>
      </c>
      <c r="H56" s="318"/>
      <c r="I56" s="464"/>
      <c r="J56" s="464"/>
      <c r="K56" s="464"/>
      <c r="L56" s="464"/>
      <c r="O56" s="284"/>
    </row>
    <row r="57" spans="1:15" s="282" customFormat="1" ht="12.75">
      <c r="A57" s="319"/>
      <c r="B57" s="317" t="s">
        <v>175</v>
      </c>
      <c r="C57" s="320">
        <f>Bilant!C83</f>
        <v>3191840.896849801</v>
      </c>
      <c r="D57" s="320">
        <f>Bilant!D83</f>
        <v>3633115.80410794</v>
      </c>
      <c r="E57" s="320">
        <f>Bilant!E83</f>
        <v>4752731.673888368</v>
      </c>
      <c r="F57" s="320">
        <f>Bilant!F83</f>
        <v>3791601.714514668</v>
      </c>
      <c r="G57" s="320">
        <f>Bilant!G83</f>
        <v>7423130.022851073</v>
      </c>
      <c r="H57" s="318"/>
      <c r="I57" s="463"/>
      <c r="J57" s="463"/>
      <c r="K57" s="463"/>
      <c r="L57" s="463"/>
      <c r="O57" s="284"/>
    </row>
    <row r="58" spans="1:15" s="282" customFormat="1" ht="12.75">
      <c r="A58" s="319"/>
      <c r="B58" s="317" t="s">
        <v>110</v>
      </c>
      <c r="C58" s="320">
        <f>Bilant!C104</f>
        <v>1404404.4683035603</v>
      </c>
      <c r="D58" s="320">
        <f>Bilant!D104</f>
        <v>1520911.8443547657</v>
      </c>
      <c r="E58" s="320">
        <f>Bilant!E104</f>
        <v>4321859.272830213</v>
      </c>
      <c r="F58" s="320">
        <f>Bilant!F104</f>
        <v>567486.1881806744</v>
      </c>
      <c r="G58" s="320">
        <f>Bilant!G104</f>
        <v>6617669.119682252</v>
      </c>
      <c r="H58" s="318"/>
      <c r="I58" s="463"/>
      <c r="J58" s="463"/>
      <c r="K58" s="463"/>
      <c r="L58" s="463"/>
      <c r="O58" s="284"/>
    </row>
    <row r="59" spans="1:15" s="282" customFormat="1" ht="12.75">
      <c r="A59" s="319"/>
      <c r="B59" s="329" t="s">
        <v>176</v>
      </c>
      <c r="C59" s="320">
        <f>C57/C58</f>
        <v>2.2727362158747337</v>
      </c>
      <c r="D59" s="320">
        <f>D57/D58</f>
        <v>2.3887747456193025</v>
      </c>
      <c r="E59" s="320">
        <f>E57/E58</f>
        <v>1.099696073809454</v>
      </c>
      <c r="F59" s="320">
        <f>F57/F58</f>
        <v>6.681399113289978</v>
      </c>
      <c r="G59" s="320">
        <f>G57/G58</f>
        <v>1.1217136862846802</v>
      </c>
      <c r="H59" s="318"/>
      <c r="I59" s="463"/>
      <c r="J59" s="463"/>
      <c r="K59" s="463"/>
      <c r="L59" s="463"/>
      <c r="O59" s="284"/>
    </row>
    <row r="60" spans="1:15" s="282" customFormat="1" ht="12.75">
      <c r="A60" s="319"/>
      <c r="B60" s="317"/>
      <c r="C60" s="320"/>
      <c r="D60" s="319"/>
      <c r="E60" s="318"/>
      <c r="F60" s="318"/>
      <c r="G60" s="318"/>
      <c r="H60" s="318"/>
      <c r="I60" s="463"/>
      <c r="J60" s="463"/>
      <c r="K60" s="463"/>
      <c r="L60" s="463"/>
      <c r="O60" s="284"/>
    </row>
    <row r="61" spans="1:15" s="282" customFormat="1" ht="12.75">
      <c r="A61" s="319"/>
      <c r="B61" s="317"/>
      <c r="C61" s="320"/>
      <c r="D61" s="319"/>
      <c r="E61" s="318"/>
      <c r="F61" s="318"/>
      <c r="G61" s="318"/>
      <c r="H61" s="318"/>
      <c r="I61" s="463"/>
      <c r="J61" s="463"/>
      <c r="K61" s="463"/>
      <c r="L61" s="463"/>
      <c r="O61" s="284"/>
    </row>
    <row r="62" spans="1:15" s="282" customFormat="1" ht="12.75">
      <c r="A62" s="319"/>
      <c r="B62" s="330" t="s">
        <v>177</v>
      </c>
      <c r="C62" s="320"/>
      <c r="D62" s="319"/>
      <c r="E62" s="318"/>
      <c r="F62" s="318"/>
      <c r="G62" s="318"/>
      <c r="H62" s="318"/>
      <c r="I62" s="463"/>
      <c r="J62" s="463"/>
      <c r="K62" s="463"/>
      <c r="L62" s="463"/>
      <c r="O62" s="284"/>
    </row>
    <row r="63" spans="1:15" s="282" customFormat="1" ht="12.75">
      <c r="A63" s="319"/>
      <c r="B63" s="317"/>
      <c r="C63" s="318"/>
      <c r="D63" s="319"/>
      <c r="E63" s="318"/>
      <c r="F63" s="318"/>
      <c r="G63" s="318"/>
      <c r="H63" s="318"/>
      <c r="I63" s="463"/>
      <c r="J63" s="463"/>
      <c r="K63" s="463"/>
      <c r="L63" s="463"/>
      <c r="O63" s="284"/>
    </row>
    <row r="64" spans="1:15" s="282" customFormat="1" ht="12.75">
      <c r="A64" s="319"/>
      <c r="B64" s="328" t="s">
        <v>178</v>
      </c>
      <c r="C64" s="320"/>
      <c r="D64" s="319"/>
      <c r="E64" s="318"/>
      <c r="F64" s="318"/>
      <c r="G64" s="318"/>
      <c r="H64" s="318"/>
      <c r="I64" s="463"/>
      <c r="J64" s="463"/>
      <c r="K64" s="463"/>
      <c r="L64" s="463"/>
      <c r="O64" s="284"/>
    </row>
    <row r="65" spans="1:15" s="282" customFormat="1" ht="12.75">
      <c r="A65" s="319"/>
      <c r="B65" s="331"/>
      <c r="C65" s="320"/>
      <c r="D65" s="319"/>
      <c r="E65" s="318"/>
      <c r="F65" s="318"/>
      <c r="G65" s="318"/>
      <c r="H65" s="318"/>
      <c r="I65" s="463"/>
      <c r="J65" s="463"/>
      <c r="K65" s="463"/>
      <c r="L65" s="463"/>
      <c r="O65" s="284"/>
    </row>
    <row r="66" spans="1:15" s="282" customFormat="1" ht="12.75">
      <c r="A66" s="319"/>
      <c r="B66" s="323" t="s">
        <v>171</v>
      </c>
      <c r="C66" s="324" t="s">
        <v>7</v>
      </c>
      <c r="D66" s="324" t="s">
        <v>8</v>
      </c>
      <c r="E66" s="324" t="s">
        <v>12</v>
      </c>
      <c r="F66" s="324" t="s">
        <v>13</v>
      </c>
      <c r="G66" s="324" t="s">
        <v>15</v>
      </c>
      <c r="H66" s="318"/>
      <c r="I66" s="464"/>
      <c r="J66" s="464"/>
      <c r="K66" s="464"/>
      <c r="L66" s="464"/>
      <c r="O66" s="284"/>
    </row>
    <row r="67" spans="1:15" s="282" customFormat="1" ht="12.75">
      <c r="A67" s="319"/>
      <c r="B67" s="332" t="s">
        <v>179</v>
      </c>
      <c r="C67" s="320">
        <f>Bilant!C98+Bilant!C104</f>
        <v>7404404.46830356</v>
      </c>
      <c r="D67" s="320">
        <f>Bilant!D98+Bilant!D104</f>
        <v>4520911.8443547655</v>
      </c>
      <c r="E67" s="320">
        <f>Bilant!E98+Bilant!E104</f>
        <v>4321859.272830213</v>
      </c>
      <c r="F67" s="320">
        <f>Bilant!F98+Bilant!F104</f>
        <v>567486.1881806744</v>
      </c>
      <c r="G67" s="320">
        <f>Bilant!G98+Bilant!G104</f>
        <v>6617669.119682252</v>
      </c>
      <c r="H67" s="318"/>
      <c r="I67" s="463"/>
      <c r="J67" s="463"/>
      <c r="K67" s="463"/>
      <c r="L67" s="463"/>
      <c r="O67" s="284"/>
    </row>
    <row r="68" spans="1:15" s="282" customFormat="1" ht="12.75">
      <c r="A68" s="319"/>
      <c r="B68" s="332" t="s">
        <v>180</v>
      </c>
      <c r="C68" s="320">
        <f>Bilant!C85</f>
        <v>21554235.740078602</v>
      </c>
      <c r="D68" s="320">
        <f>Bilant!D85</f>
        <v>22005250.930089146</v>
      </c>
      <c r="E68" s="320">
        <f>Bilant!E85</f>
        <v>22830589.886912614</v>
      </c>
      <c r="F68" s="320">
        <f>Bilant!F85</f>
        <v>24830747.088496666</v>
      </c>
      <c r="G68" s="320">
        <f>Bilant!G85</f>
        <v>30880930.019998245</v>
      </c>
      <c r="H68" s="318"/>
      <c r="I68" s="463"/>
      <c r="J68" s="463"/>
      <c r="K68" s="463"/>
      <c r="L68" s="463"/>
      <c r="O68" s="284"/>
    </row>
    <row r="69" spans="1:15" s="282" customFormat="1" ht="12.75">
      <c r="A69" s="319"/>
      <c r="B69" s="333" t="s">
        <v>181</v>
      </c>
      <c r="C69" s="334">
        <f>C67/C68</f>
        <v>0.3435243335738221</v>
      </c>
      <c r="D69" s="334">
        <f>D67/D68</f>
        <v>0.2054469571248125</v>
      </c>
      <c r="E69" s="334">
        <f>E67/E68</f>
        <v>0.18930125302227394</v>
      </c>
      <c r="F69" s="334">
        <f>F67/F68</f>
        <v>0.02285417293962829</v>
      </c>
      <c r="G69" s="334">
        <f>G67/G68</f>
        <v>0.2142963024558102</v>
      </c>
      <c r="H69" s="318"/>
      <c r="I69" s="463"/>
      <c r="J69" s="463"/>
      <c r="K69" s="463"/>
      <c r="L69" s="463"/>
      <c r="O69" s="284"/>
    </row>
    <row r="70" spans="1:15" s="282" customFormat="1" ht="12.75">
      <c r="A70" s="319"/>
      <c r="B70" s="333"/>
      <c r="C70" s="334"/>
      <c r="D70" s="334"/>
      <c r="E70" s="334"/>
      <c r="F70" s="334"/>
      <c r="G70" s="334"/>
      <c r="H70" s="318"/>
      <c r="I70" s="463"/>
      <c r="J70" s="463"/>
      <c r="K70" s="463"/>
      <c r="L70" s="463"/>
      <c r="O70" s="284"/>
    </row>
    <row r="71" spans="1:15" s="282" customFormat="1" ht="12.75">
      <c r="A71" s="319"/>
      <c r="B71" s="333"/>
      <c r="C71" s="334"/>
      <c r="D71" s="334"/>
      <c r="E71" s="334"/>
      <c r="F71" s="334"/>
      <c r="G71" s="334"/>
      <c r="H71" s="318"/>
      <c r="I71" s="463"/>
      <c r="J71" s="463"/>
      <c r="K71" s="463"/>
      <c r="L71" s="463"/>
      <c r="O71" s="284"/>
    </row>
    <row r="72" spans="1:15" s="282" customFormat="1" ht="12.75">
      <c r="A72" s="319"/>
      <c r="B72" s="332"/>
      <c r="C72" s="319"/>
      <c r="D72" s="319"/>
      <c r="E72" s="318"/>
      <c r="F72" s="318"/>
      <c r="G72" s="318"/>
      <c r="H72" s="318"/>
      <c r="I72" s="463"/>
      <c r="J72" s="463"/>
      <c r="K72" s="463"/>
      <c r="L72" s="463"/>
      <c r="O72" s="283"/>
    </row>
    <row r="73" spans="1:15" s="282" customFormat="1" ht="12.75">
      <c r="A73" s="319"/>
      <c r="B73" s="332"/>
      <c r="C73" s="319"/>
      <c r="D73" s="319"/>
      <c r="E73" s="318"/>
      <c r="F73" s="318"/>
      <c r="G73" s="318"/>
      <c r="H73" s="318"/>
      <c r="I73" s="463"/>
      <c r="J73" s="463"/>
      <c r="K73" s="463"/>
      <c r="L73" s="463"/>
      <c r="O73" s="284"/>
    </row>
    <row r="74" spans="1:15" s="282" customFormat="1" ht="12.75">
      <c r="A74" s="319"/>
      <c r="B74" s="331" t="s">
        <v>182</v>
      </c>
      <c r="C74" s="319"/>
      <c r="D74" s="319"/>
      <c r="E74" s="318"/>
      <c r="F74" s="318"/>
      <c r="G74" s="318"/>
      <c r="H74" s="318"/>
      <c r="I74" s="463"/>
      <c r="J74" s="463"/>
      <c r="K74" s="463"/>
      <c r="L74" s="463"/>
      <c r="O74" s="284"/>
    </row>
    <row r="75" spans="1:15" s="282" customFormat="1" ht="12.75">
      <c r="A75" s="319"/>
      <c r="B75" s="332"/>
      <c r="C75" s="319"/>
      <c r="D75" s="319"/>
      <c r="E75" s="318"/>
      <c r="F75" s="318"/>
      <c r="G75" s="318"/>
      <c r="H75" s="318"/>
      <c r="I75" s="463"/>
      <c r="J75" s="463"/>
      <c r="K75" s="463"/>
      <c r="L75" s="463"/>
      <c r="O75" s="284"/>
    </row>
    <row r="76" spans="1:15" s="282" customFormat="1" ht="12.75">
      <c r="A76" s="319"/>
      <c r="B76" s="323" t="s">
        <v>171</v>
      </c>
      <c r="C76" s="324" t="s">
        <v>7</v>
      </c>
      <c r="D76" s="324" t="s">
        <v>8</v>
      </c>
      <c r="E76" s="324" t="s">
        <v>12</v>
      </c>
      <c r="F76" s="324" t="s">
        <v>13</v>
      </c>
      <c r="G76" s="324" t="s">
        <v>15</v>
      </c>
      <c r="H76" s="318"/>
      <c r="I76" s="464"/>
      <c r="J76" s="464"/>
      <c r="K76" s="464"/>
      <c r="L76" s="464"/>
      <c r="O76" s="284"/>
    </row>
    <row r="77" spans="1:15" s="282" customFormat="1" ht="12.75">
      <c r="A77" s="319"/>
      <c r="B77" s="332" t="s">
        <v>183</v>
      </c>
      <c r="C77" s="320">
        <f>Bilant!C98</f>
        <v>6000000</v>
      </c>
      <c r="D77" s="320">
        <f>Bilant!D98</f>
        <v>3000000</v>
      </c>
      <c r="E77" s="320">
        <f>Bilant!E98</f>
        <v>0</v>
      </c>
      <c r="F77" s="320">
        <f>Bilant!F98</f>
        <v>0</v>
      </c>
      <c r="G77" s="320">
        <f>Bilant!G98</f>
        <v>0</v>
      </c>
      <c r="H77" s="318"/>
      <c r="I77" s="463"/>
      <c r="J77" s="463"/>
      <c r="K77" s="463"/>
      <c r="L77" s="463"/>
      <c r="O77" s="284"/>
    </row>
    <row r="78" spans="1:15" s="282" customFormat="1" ht="12.75">
      <c r="A78" s="319"/>
      <c r="B78" s="332" t="s">
        <v>184</v>
      </c>
      <c r="C78" s="320">
        <f>Bilant!C94</f>
        <v>14149831.27177504</v>
      </c>
      <c r="D78" s="320">
        <f>Bilant!D94</f>
        <v>17484339.08573438</v>
      </c>
      <c r="E78" s="320">
        <f>Bilant!E94</f>
        <v>18508730.614082403</v>
      </c>
      <c r="F78" s="320">
        <f>Bilant!F94</f>
        <v>24263260.900315993</v>
      </c>
      <c r="G78" s="320">
        <f>Bilant!G94</f>
        <v>24263260.900315993</v>
      </c>
      <c r="H78" s="318"/>
      <c r="I78" s="463"/>
      <c r="J78" s="463"/>
      <c r="K78" s="463"/>
      <c r="L78" s="463"/>
      <c r="O78" s="284"/>
    </row>
    <row r="79" spans="1:15" s="282" customFormat="1" ht="12.75">
      <c r="A79" s="319"/>
      <c r="B79" s="333" t="s">
        <v>185</v>
      </c>
      <c r="C79" s="319">
        <f>C77/C78</f>
        <v>0.4240333248332313</v>
      </c>
      <c r="D79" s="319">
        <f>D77/D78</f>
        <v>0.1715821218800158</v>
      </c>
      <c r="E79" s="319">
        <f>E77/E78</f>
        <v>0</v>
      </c>
      <c r="F79" s="319">
        <f>F77/F78</f>
        <v>0</v>
      </c>
      <c r="G79" s="319">
        <f>G77/G78</f>
        <v>0</v>
      </c>
      <c r="H79" s="318"/>
      <c r="I79" s="463"/>
      <c r="J79" s="463"/>
      <c r="K79" s="463"/>
      <c r="L79" s="463"/>
      <c r="O79" s="284"/>
    </row>
    <row r="80" spans="1:15" s="282" customFormat="1" ht="12.75">
      <c r="A80" s="319"/>
      <c r="B80" s="332"/>
      <c r="C80" s="318"/>
      <c r="D80" s="319"/>
      <c r="E80" s="318"/>
      <c r="F80" s="318"/>
      <c r="G80" s="318"/>
      <c r="H80" s="318"/>
      <c r="I80" s="463"/>
      <c r="J80" s="463"/>
      <c r="K80" s="463"/>
      <c r="L80" s="463"/>
      <c r="O80" s="284"/>
    </row>
    <row r="81" spans="1:15" s="282" customFormat="1" ht="12.75">
      <c r="A81" s="319"/>
      <c r="B81" s="331"/>
      <c r="C81" s="318"/>
      <c r="D81" s="319"/>
      <c r="E81" s="318"/>
      <c r="F81" s="318"/>
      <c r="G81" s="318"/>
      <c r="H81" s="318"/>
      <c r="I81" s="463"/>
      <c r="J81" s="463"/>
      <c r="K81" s="463"/>
      <c r="L81" s="463"/>
      <c r="O81" s="284"/>
    </row>
    <row r="82" spans="1:15" s="282" customFormat="1" ht="12.75">
      <c r="A82" s="319"/>
      <c r="B82" s="331" t="s">
        <v>186</v>
      </c>
      <c r="C82" s="318"/>
      <c r="D82" s="319"/>
      <c r="E82" s="318"/>
      <c r="F82" s="318"/>
      <c r="G82" s="318"/>
      <c r="H82" s="318"/>
      <c r="I82" s="463"/>
      <c r="J82" s="463"/>
      <c r="K82" s="463"/>
      <c r="L82" s="463"/>
      <c r="O82" s="284"/>
    </row>
    <row r="83" spans="1:15" s="282" customFormat="1" ht="12.75">
      <c r="A83" s="319"/>
      <c r="B83" s="332"/>
      <c r="C83" s="318"/>
      <c r="D83" s="319"/>
      <c r="E83" s="318"/>
      <c r="F83" s="318"/>
      <c r="G83" s="318"/>
      <c r="H83" s="318"/>
      <c r="I83" s="463"/>
      <c r="J83" s="463"/>
      <c r="K83" s="463"/>
      <c r="L83" s="463"/>
      <c r="O83" s="284"/>
    </row>
    <row r="84" spans="1:15" s="282" customFormat="1" ht="12.75">
      <c r="A84" s="319"/>
      <c r="B84" s="323" t="s">
        <v>171</v>
      </c>
      <c r="C84" s="324" t="s">
        <v>7</v>
      </c>
      <c r="D84" s="324" t="s">
        <v>8</v>
      </c>
      <c r="E84" s="324" t="s">
        <v>12</v>
      </c>
      <c r="F84" s="324" t="s">
        <v>13</v>
      </c>
      <c r="G84" s="324" t="s">
        <v>15</v>
      </c>
      <c r="H84" s="318"/>
      <c r="I84" s="464"/>
      <c r="J84" s="464"/>
      <c r="K84" s="464"/>
      <c r="L84" s="464"/>
      <c r="O84" s="284"/>
    </row>
    <row r="85" spans="1:15" s="282" customFormat="1" ht="12.75">
      <c r="A85" s="319"/>
      <c r="B85" s="332" t="s">
        <v>179</v>
      </c>
      <c r="C85" s="320">
        <f>C67</f>
        <v>7404404.46830356</v>
      </c>
      <c r="D85" s="320">
        <f>D67</f>
        <v>4520911.8443547655</v>
      </c>
      <c r="E85" s="320">
        <f>E67</f>
        <v>4321859.272830213</v>
      </c>
      <c r="F85" s="320">
        <f>F67</f>
        <v>567486.1881806744</v>
      </c>
      <c r="G85" s="320">
        <f>G67</f>
        <v>6617669.119682252</v>
      </c>
      <c r="H85" s="318"/>
      <c r="I85" s="463"/>
      <c r="J85" s="463"/>
      <c r="K85" s="463"/>
      <c r="L85" s="463"/>
      <c r="O85" s="284"/>
    </row>
    <row r="86" spans="1:15" s="282" customFormat="1" ht="12.75">
      <c r="A86" s="319"/>
      <c r="B86" s="335" t="s">
        <v>184</v>
      </c>
      <c r="C86" s="320">
        <f>C78</f>
        <v>14149831.27177504</v>
      </c>
      <c r="D86" s="320">
        <f>D78</f>
        <v>17484339.08573438</v>
      </c>
      <c r="E86" s="320">
        <f>E78</f>
        <v>18508730.614082403</v>
      </c>
      <c r="F86" s="320">
        <f>F78</f>
        <v>24263260.900315993</v>
      </c>
      <c r="G86" s="320">
        <f>G78</f>
        <v>24263260.900315993</v>
      </c>
      <c r="H86" s="318"/>
      <c r="I86" s="463"/>
      <c r="J86" s="463"/>
      <c r="K86" s="463"/>
      <c r="L86" s="463"/>
      <c r="O86" s="284"/>
    </row>
    <row r="87" spans="1:15" s="282" customFormat="1" ht="25.5">
      <c r="A87" s="319"/>
      <c r="B87" s="336" t="s">
        <v>360</v>
      </c>
      <c r="C87" s="334">
        <f>C85/C86</f>
        <v>0.5232857075174655</v>
      </c>
      <c r="D87" s="334">
        <f>D85/D86</f>
        <v>0.2585692156956288</v>
      </c>
      <c r="E87" s="334">
        <f>E85/E86</f>
        <v>0.23350381843808987</v>
      </c>
      <c r="F87" s="334">
        <f>F85/F86</f>
        <v>0.02338870238885672</v>
      </c>
      <c r="G87" s="334">
        <f>G85/G86</f>
        <v>0.27274442404384597</v>
      </c>
      <c r="H87" s="318"/>
      <c r="I87" s="463"/>
      <c r="J87" s="463"/>
      <c r="K87" s="463"/>
      <c r="L87" s="463"/>
      <c r="O87" s="284"/>
    </row>
    <row r="88" spans="1:15" s="282" customFormat="1" ht="12.75">
      <c r="A88" s="319"/>
      <c r="B88" s="317"/>
      <c r="C88" s="318"/>
      <c r="D88" s="319"/>
      <c r="E88" s="318"/>
      <c r="F88" s="318"/>
      <c r="G88" s="318"/>
      <c r="H88" s="318"/>
      <c r="I88" s="463"/>
      <c r="J88" s="463"/>
      <c r="K88" s="463"/>
      <c r="L88" s="463"/>
      <c r="O88" s="284"/>
    </row>
    <row r="89" spans="1:15" s="282" customFormat="1" ht="12.75">
      <c r="A89" s="319"/>
      <c r="B89" s="328"/>
      <c r="C89" s="318"/>
      <c r="D89" s="319"/>
      <c r="E89" s="318"/>
      <c r="F89" s="318"/>
      <c r="G89" s="318"/>
      <c r="H89" s="318"/>
      <c r="I89" s="463"/>
      <c r="J89" s="463"/>
      <c r="K89" s="463"/>
      <c r="L89" s="463"/>
      <c r="O89" s="284"/>
    </row>
    <row r="90" spans="1:15" s="282" customFormat="1" ht="12.75">
      <c r="A90" s="319"/>
      <c r="B90" s="328" t="s">
        <v>187</v>
      </c>
      <c r="C90" s="318"/>
      <c r="D90" s="319"/>
      <c r="E90" s="318"/>
      <c r="F90" s="318"/>
      <c r="G90" s="318"/>
      <c r="H90" s="318"/>
      <c r="I90" s="463"/>
      <c r="J90" s="463"/>
      <c r="K90" s="463"/>
      <c r="L90" s="463"/>
      <c r="O90" s="284"/>
    </row>
    <row r="91" spans="1:15" s="282" customFormat="1" ht="12.75">
      <c r="A91" s="319"/>
      <c r="B91" s="328"/>
      <c r="C91" s="318"/>
      <c r="D91" s="319"/>
      <c r="E91" s="318"/>
      <c r="F91" s="318"/>
      <c r="G91" s="318"/>
      <c r="H91" s="318"/>
      <c r="I91" s="463"/>
      <c r="J91" s="463"/>
      <c r="K91" s="463"/>
      <c r="L91" s="463"/>
      <c r="O91" s="284"/>
    </row>
    <row r="92" spans="1:15" s="282" customFormat="1" ht="12.75">
      <c r="A92" s="319"/>
      <c r="B92" s="323" t="s">
        <v>171</v>
      </c>
      <c r="C92" s="324" t="s">
        <v>7</v>
      </c>
      <c r="D92" s="324" t="s">
        <v>8</v>
      </c>
      <c r="E92" s="324" t="s">
        <v>12</v>
      </c>
      <c r="F92" s="324" t="s">
        <v>13</v>
      </c>
      <c r="G92" s="324" t="s">
        <v>15</v>
      </c>
      <c r="H92" s="318"/>
      <c r="I92" s="464"/>
      <c r="J92" s="464"/>
      <c r="K92" s="464"/>
      <c r="L92" s="464"/>
      <c r="O92" s="284"/>
    </row>
    <row r="93" spans="1:15" s="282" customFormat="1" ht="25.5">
      <c r="A93" s="319"/>
      <c r="B93" s="337" t="s">
        <v>188</v>
      </c>
      <c r="C93" s="320">
        <f>'Cont de Rezultat'!D76</f>
        <v>4662154.437382401</v>
      </c>
      <c r="D93" s="320">
        <f>'Cont de Rezultat'!E76</f>
        <v>4446010.41861245</v>
      </c>
      <c r="E93" s="320">
        <f>'Cont de Rezultat'!F76</f>
        <v>5097566.113392096</v>
      </c>
      <c r="F93" s="320">
        <f>'Cont de Rezultat'!G76</f>
        <v>5754530.286233589</v>
      </c>
      <c r="G93" s="320">
        <f>'Cont de Rezultat'!H76</f>
        <v>6002735.035772575</v>
      </c>
      <c r="H93" s="318"/>
      <c r="I93" s="463"/>
      <c r="J93" s="463"/>
      <c r="K93" s="463"/>
      <c r="L93" s="463"/>
      <c r="O93" s="284"/>
    </row>
    <row r="94" spans="1:15" s="282" customFormat="1" ht="12.75">
      <c r="A94" s="319"/>
      <c r="B94" s="338" t="s">
        <v>189</v>
      </c>
      <c r="C94" s="320">
        <f>'Cont de Rezultat'!D69</f>
        <v>1128125</v>
      </c>
      <c r="D94" s="320">
        <f>'Cont de Rezultat'!E69</f>
        <v>695250</v>
      </c>
      <c r="E94" s="320">
        <f>'Cont de Rezultat'!F69</f>
        <v>268750</v>
      </c>
      <c r="F94" s="320">
        <f>'Cont de Rezultat'!G69</f>
        <v>12000</v>
      </c>
      <c r="G94" s="320">
        <f>'Cont de Rezultat'!H69</f>
        <v>0</v>
      </c>
      <c r="H94" s="318"/>
      <c r="I94" s="463"/>
      <c r="J94" s="463"/>
      <c r="K94" s="463"/>
      <c r="L94" s="463"/>
      <c r="O94" s="284"/>
    </row>
    <row r="95" spans="1:15" s="282" customFormat="1" ht="12.75">
      <c r="A95" s="319"/>
      <c r="B95" s="338" t="s">
        <v>10</v>
      </c>
      <c r="C95" s="320">
        <f>SUM(C93:C94)</f>
        <v>5790279.437382401</v>
      </c>
      <c r="D95" s="320">
        <f>SUM(D93:D94)</f>
        <v>5141260.41861245</v>
      </c>
      <c r="E95" s="320">
        <f>SUM(E93:E94)</f>
        <v>5366316.113392096</v>
      </c>
      <c r="F95" s="320">
        <f>SUM(F93:F94)</f>
        <v>5766530.286233589</v>
      </c>
      <c r="G95" s="320">
        <f>SUM(G93:G94)</f>
        <v>6002735.035772575</v>
      </c>
      <c r="H95" s="318"/>
      <c r="I95" s="463"/>
      <c r="J95" s="463"/>
      <c r="K95" s="463"/>
      <c r="L95" s="463"/>
      <c r="O95" s="284"/>
    </row>
    <row r="96" spans="1:15" s="282" customFormat="1" ht="12.75">
      <c r="A96" s="319"/>
      <c r="B96" s="338" t="s">
        <v>189</v>
      </c>
      <c r="C96" s="320">
        <f>'Cont de Rezultat'!D69</f>
        <v>1128125</v>
      </c>
      <c r="D96" s="320">
        <f>'Cont de Rezultat'!E69</f>
        <v>695250</v>
      </c>
      <c r="E96" s="320">
        <f>'Cont de Rezultat'!F69</f>
        <v>268750</v>
      </c>
      <c r="F96" s="320">
        <f>'Cont de Rezultat'!G69</f>
        <v>12000</v>
      </c>
      <c r="G96" s="320">
        <f>'Cont de Rezultat'!H69</f>
        <v>0</v>
      </c>
      <c r="H96" s="318"/>
      <c r="I96" s="463"/>
      <c r="J96" s="463"/>
      <c r="K96" s="463"/>
      <c r="L96" s="463"/>
      <c r="O96" s="284"/>
    </row>
    <row r="97" spans="1:15" s="282" customFormat="1" ht="25.5">
      <c r="A97" s="319"/>
      <c r="B97" s="338" t="s">
        <v>190</v>
      </c>
      <c r="C97" s="320">
        <f>'Flux de Numerar'!C71</f>
        <v>1500000</v>
      </c>
      <c r="D97" s="320">
        <f>'Flux de Numerar'!D71</f>
        <v>3000000</v>
      </c>
      <c r="E97" s="320">
        <f>'Flux de Numerar'!E71</f>
        <v>3000000</v>
      </c>
      <c r="F97" s="320">
        <f>'Flux de Numerar'!F71</f>
        <v>0</v>
      </c>
      <c r="G97" s="320">
        <f>'Flux de Numerar'!G71</f>
        <v>0</v>
      </c>
      <c r="H97" s="318"/>
      <c r="I97" s="463"/>
      <c r="J97" s="463"/>
      <c r="K97" s="463"/>
      <c r="L97" s="463"/>
      <c r="O97" s="284"/>
    </row>
    <row r="98" spans="1:15" s="282" customFormat="1" ht="12.75">
      <c r="A98" s="319"/>
      <c r="B98" s="338" t="s">
        <v>10</v>
      </c>
      <c r="C98" s="320">
        <f>SUM(C96:C97)</f>
        <v>2628125</v>
      </c>
      <c r="D98" s="320">
        <f>SUM(D96:D97)</f>
        <v>3695250</v>
      </c>
      <c r="E98" s="320">
        <f>SUM(E96:E97)</f>
        <v>3268750</v>
      </c>
      <c r="F98" s="320">
        <f>SUM(F96:F97)</f>
        <v>12000</v>
      </c>
      <c r="G98" s="320">
        <f>SUM(G96:G97)</f>
        <v>0</v>
      </c>
      <c r="H98" s="318"/>
      <c r="I98" s="463"/>
      <c r="J98" s="463"/>
      <c r="K98" s="463"/>
      <c r="L98" s="463"/>
      <c r="O98" s="284"/>
    </row>
    <row r="99" spans="1:15" s="282" customFormat="1" ht="12.75">
      <c r="A99" s="319"/>
      <c r="B99" s="336" t="s">
        <v>191</v>
      </c>
      <c r="C99" s="475">
        <f>IF(C98&lt;1," Serv. dat este nul",C95/C98)</f>
        <v>2.2031978834273107</v>
      </c>
      <c r="D99" s="475">
        <f>IF(D98&lt;1," Serv. dat este nul",D95/D98)</f>
        <v>1.3913159917765916</v>
      </c>
      <c r="E99" s="475">
        <f>IF(E98&lt;1," Serv. dat este nul",E95/E98)</f>
        <v>1.6417028262767406</v>
      </c>
      <c r="F99" s="475">
        <f>IF(F98&lt;1," Serv. dat este nul",F95/F98)</f>
        <v>480.54419051946576</v>
      </c>
      <c r="G99" s="475" t="str">
        <f>IF(G98&lt;1," Serv. dat este nul",G95/G98)</f>
        <v> Serv. dat este nul</v>
      </c>
      <c r="H99" s="318"/>
      <c r="I99" s="463"/>
      <c r="J99" s="463"/>
      <c r="K99" s="463"/>
      <c r="L99" s="463"/>
      <c r="O99" s="284"/>
    </row>
    <row r="100" spans="1:15" s="282" customFormat="1" ht="12.75">
      <c r="A100" s="319"/>
      <c r="B100" s="317"/>
      <c r="C100" s="318"/>
      <c r="D100" s="319"/>
      <c r="E100" s="318"/>
      <c r="F100" s="318"/>
      <c r="G100" s="318"/>
      <c r="H100" s="318"/>
      <c r="I100" s="463"/>
      <c r="J100" s="463"/>
      <c r="K100" s="463"/>
      <c r="L100" s="463"/>
      <c r="O100" s="284"/>
    </row>
    <row r="101" spans="1:15" s="282" customFormat="1" ht="12.75">
      <c r="A101" s="319"/>
      <c r="B101" s="317"/>
      <c r="C101" s="318"/>
      <c r="D101" s="319"/>
      <c r="E101" s="318"/>
      <c r="F101" s="318"/>
      <c r="G101" s="318"/>
      <c r="H101" s="318"/>
      <c r="I101" s="463"/>
      <c r="J101" s="463"/>
      <c r="K101" s="463"/>
      <c r="L101" s="463"/>
      <c r="O101" s="284"/>
    </row>
    <row r="102" spans="1:15" s="282" customFormat="1" ht="12.75">
      <c r="A102" s="319"/>
      <c r="B102" s="321" t="s">
        <v>192</v>
      </c>
      <c r="C102" s="318"/>
      <c r="D102" s="319"/>
      <c r="E102" s="318"/>
      <c r="F102" s="318"/>
      <c r="G102" s="318"/>
      <c r="H102" s="318"/>
      <c r="I102" s="463"/>
      <c r="J102" s="463"/>
      <c r="K102" s="463"/>
      <c r="L102" s="463"/>
      <c r="O102" s="284"/>
    </row>
    <row r="103" spans="1:15" s="282" customFormat="1" ht="12.75">
      <c r="A103" s="319"/>
      <c r="B103" s="317"/>
      <c r="C103" s="318"/>
      <c r="D103" s="319"/>
      <c r="E103" s="318"/>
      <c r="F103" s="318"/>
      <c r="G103" s="318"/>
      <c r="H103" s="318"/>
      <c r="I103" s="463"/>
      <c r="J103" s="463"/>
      <c r="K103" s="463"/>
      <c r="L103" s="463"/>
      <c r="O103" s="284"/>
    </row>
    <row r="104" spans="1:15" s="282" customFormat="1" ht="12.75">
      <c r="A104" s="319"/>
      <c r="B104" s="328" t="s">
        <v>193</v>
      </c>
      <c r="C104" s="318"/>
      <c r="D104" s="319"/>
      <c r="E104" s="318"/>
      <c r="F104" s="318"/>
      <c r="G104" s="318"/>
      <c r="H104" s="318"/>
      <c r="I104" s="463"/>
      <c r="J104" s="463"/>
      <c r="K104" s="463"/>
      <c r="L104" s="463"/>
      <c r="O104" s="284"/>
    </row>
    <row r="105" spans="1:15" s="282" customFormat="1" ht="12.75">
      <c r="A105" s="319"/>
      <c r="B105" s="317"/>
      <c r="C105" s="318"/>
      <c r="D105" s="319"/>
      <c r="E105" s="318"/>
      <c r="F105" s="318"/>
      <c r="G105" s="318"/>
      <c r="H105" s="318"/>
      <c r="I105" s="463"/>
      <c r="J105" s="463"/>
      <c r="K105" s="463"/>
      <c r="L105" s="463"/>
      <c r="O105" s="284"/>
    </row>
    <row r="106" spans="1:15" s="282" customFormat="1" ht="12.75">
      <c r="A106" s="319"/>
      <c r="B106" s="323" t="s">
        <v>171</v>
      </c>
      <c r="C106" s="324" t="s">
        <v>7</v>
      </c>
      <c r="D106" s="324" t="s">
        <v>8</v>
      </c>
      <c r="E106" s="324" t="s">
        <v>12</v>
      </c>
      <c r="F106" s="324" t="s">
        <v>13</v>
      </c>
      <c r="G106" s="324" t="s">
        <v>15</v>
      </c>
      <c r="H106" s="318"/>
      <c r="I106" s="464"/>
      <c r="J106" s="464"/>
      <c r="K106" s="464"/>
      <c r="L106" s="464"/>
      <c r="O106" s="284"/>
    </row>
    <row r="107" spans="1:15" s="282" customFormat="1" ht="12.75">
      <c r="A107" s="319"/>
      <c r="B107" s="317" t="s">
        <v>140</v>
      </c>
      <c r="C107" s="320">
        <f>Bilant!C84</f>
        <v>4420735.740078601</v>
      </c>
      <c r="D107" s="320">
        <f>Bilant!D84</f>
        <v>5307250.930089144</v>
      </c>
      <c r="E107" s="320">
        <f>Bilant!E84</f>
        <v>6568089.886912616</v>
      </c>
      <c r="F107" s="320">
        <f>Bilant!F84</f>
        <v>5728747.088496666</v>
      </c>
      <c r="G107" s="320">
        <f>Bilant!G84</f>
        <v>9521430.019998245</v>
      </c>
      <c r="H107" s="318"/>
      <c r="I107" s="463"/>
      <c r="J107" s="463"/>
      <c r="K107" s="463"/>
      <c r="L107" s="463"/>
      <c r="O107" s="284"/>
    </row>
    <row r="108" spans="1:15" s="282" customFormat="1" ht="12.75">
      <c r="A108" s="319"/>
      <c r="B108" s="317" t="s">
        <v>194</v>
      </c>
      <c r="C108" s="320">
        <f>'Cont de Rezultat'!D55</f>
        <v>26376492.11072</v>
      </c>
      <c r="D108" s="320">
        <f>'Cont de Rezultat'!E55</f>
        <v>27426104.452934403</v>
      </c>
      <c r="E108" s="320">
        <f>'Cont de Rezultat'!F55</f>
        <v>28522813.16699309</v>
      </c>
      <c r="F108" s="320">
        <f>'Cont de Rezultat'!G55</f>
        <v>30436326.661582954</v>
      </c>
      <c r="G108" s="320">
        <f>'Cont de Rezultat'!H55</f>
        <v>31672452.787127115</v>
      </c>
      <c r="H108" s="318"/>
      <c r="I108" s="463"/>
      <c r="J108" s="463"/>
      <c r="K108" s="463"/>
      <c r="L108" s="463"/>
      <c r="O108" s="284"/>
    </row>
    <row r="109" spans="1:15" s="282" customFormat="1" ht="12.75">
      <c r="A109" s="319"/>
      <c r="B109" s="317" t="s">
        <v>195</v>
      </c>
      <c r="C109" s="320">
        <v>365</v>
      </c>
      <c r="D109" s="320">
        <v>365</v>
      </c>
      <c r="E109" s="320">
        <v>365</v>
      </c>
      <c r="F109" s="320">
        <v>365</v>
      </c>
      <c r="G109" s="320">
        <v>365</v>
      </c>
      <c r="H109" s="318"/>
      <c r="I109" s="463"/>
      <c r="J109" s="463"/>
      <c r="K109" s="463"/>
      <c r="L109" s="463"/>
      <c r="O109" s="284"/>
    </row>
    <row r="110" spans="1:15" s="282" customFormat="1" ht="12.75">
      <c r="A110" s="319"/>
      <c r="B110" s="329" t="s">
        <v>196</v>
      </c>
      <c r="C110" s="320">
        <f>C107/C108*C109</f>
        <v>61.174493498053096</v>
      </c>
      <c r="D110" s="320">
        <f>D107/D108*D109</f>
        <v>70.63148879954318</v>
      </c>
      <c r="E110" s="320">
        <f>E107/E108*E109</f>
        <v>84.05036328945799</v>
      </c>
      <c r="F110" s="320">
        <f>F107/F108*F109</f>
        <v>68.70056004296195</v>
      </c>
      <c r="G110" s="320">
        <f>G107/G108*G109</f>
        <v>109.72695991236466</v>
      </c>
      <c r="H110" s="318"/>
      <c r="I110" s="463"/>
      <c r="J110" s="463"/>
      <c r="K110" s="463"/>
      <c r="L110" s="463"/>
      <c r="O110" s="284"/>
    </row>
    <row r="111" spans="1:15" s="282" customFormat="1" ht="12.75">
      <c r="A111" s="319"/>
      <c r="B111" s="317"/>
      <c r="C111" s="318"/>
      <c r="D111" s="319"/>
      <c r="E111" s="318"/>
      <c r="F111" s="318"/>
      <c r="G111" s="318"/>
      <c r="H111" s="318"/>
      <c r="I111" s="463"/>
      <c r="J111" s="463"/>
      <c r="K111" s="463"/>
      <c r="L111" s="463"/>
      <c r="O111" s="284"/>
    </row>
    <row r="112" spans="1:15" s="282" customFormat="1" ht="12.75">
      <c r="A112" s="319"/>
      <c r="B112" s="317"/>
      <c r="C112" s="318"/>
      <c r="D112" s="319"/>
      <c r="E112" s="318"/>
      <c r="F112" s="318"/>
      <c r="G112" s="318"/>
      <c r="H112" s="318"/>
      <c r="I112" s="463"/>
      <c r="J112" s="463"/>
      <c r="K112" s="463"/>
      <c r="L112" s="463"/>
      <c r="O112" s="284"/>
    </row>
    <row r="113" spans="1:15" s="282" customFormat="1" ht="12.75">
      <c r="A113" s="319"/>
      <c r="B113" s="328" t="s">
        <v>197</v>
      </c>
      <c r="C113" s="318"/>
      <c r="D113" s="319"/>
      <c r="E113" s="318"/>
      <c r="F113" s="318"/>
      <c r="G113" s="318"/>
      <c r="H113" s="318"/>
      <c r="I113" s="463"/>
      <c r="J113" s="463"/>
      <c r="K113" s="463"/>
      <c r="L113" s="463"/>
      <c r="O113" s="284"/>
    </row>
    <row r="114" spans="1:15" s="282" customFormat="1" ht="12.75">
      <c r="A114" s="319"/>
      <c r="B114" s="317"/>
      <c r="C114" s="318"/>
      <c r="D114" s="319"/>
      <c r="E114" s="318"/>
      <c r="F114" s="318"/>
      <c r="G114" s="318"/>
      <c r="H114" s="318"/>
      <c r="O114" s="284"/>
    </row>
    <row r="115" spans="1:15" s="282" customFormat="1" ht="12.75">
      <c r="A115" s="319"/>
      <c r="B115" s="323" t="s">
        <v>171</v>
      </c>
      <c r="C115" s="324" t="s">
        <v>7</v>
      </c>
      <c r="D115" s="324" t="s">
        <v>8</v>
      </c>
      <c r="E115" s="324" t="s">
        <v>12</v>
      </c>
      <c r="F115" s="324" t="s">
        <v>13</v>
      </c>
      <c r="G115" s="324" t="s">
        <v>15</v>
      </c>
      <c r="H115" s="318"/>
      <c r="O115" s="284"/>
    </row>
    <row r="116" spans="1:15" s="282" customFormat="1" ht="12.75">
      <c r="A116" s="319"/>
      <c r="B116" s="317" t="s">
        <v>198</v>
      </c>
      <c r="C116" s="320">
        <f>Bilant!C80</f>
        <v>655660.35843</v>
      </c>
      <c r="D116" s="320">
        <f>Bilant!D80</f>
        <v>499955.0290899501</v>
      </c>
      <c r="E116" s="320">
        <f>Bilant!E80</f>
        <v>519947.1150233116</v>
      </c>
      <c r="F116" s="320">
        <f>Bilant!F80</f>
        <v>554828.8714351059</v>
      </c>
      <c r="G116" s="320">
        <f>Bilant!G80</f>
        <v>577362.4205986714</v>
      </c>
      <c r="H116" s="318"/>
      <c r="O116" s="284"/>
    </row>
    <row r="117" spans="1:15" s="282" customFormat="1" ht="12.75">
      <c r="A117" s="319"/>
      <c r="B117" s="317" t="s">
        <v>194</v>
      </c>
      <c r="C117" s="320">
        <f>C108</f>
        <v>26376492.11072</v>
      </c>
      <c r="D117" s="320">
        <f>D108</f>
        <v>27426104.452934403</v>
      </c>
      <c r="E117" s="320">
        <f>E108</f>
        <v>28522813.16699309</v>
      </c>
      <c r="F117" s="320">
        <f>F108</f>
        <v>30436326.661582954</v>
      </c>
      <c r="G117" s="320">
        <f>G108</f>
        <v>31672452.787127115</v>
      </c>
      <c r="H117" s="318"/>
      <c r="O117" s="284"/>
    </row>
    <row r="118" spans="1:15" s="282" customFormat="1" ht="12.75">
      <c r="A118" s="319"/>
      <c r="B118" s="317" t="s">
        <v>195</v>
      </c>
      <c r="C118" s="319">
        <v>365</v>
      </c>
      <c r="D118" s="319">
        <v>365</v>
      </c>
      <c r="E118" s="319">
        <v>365</v>
      </c>
      <c r="F118" s="319">
        <v>365</v>
      </c>
      <c r="G118" s="319">
        <v>365</v>
      </c>
      <c r="H118" s="318"/>
      <c r="O118" s="284"/>
    </row>
    <row r="119" spans="1:15" s="282" customFormat="1" ht="12.75">
      <c r="A119" s="319"/>
      <c r="B119" s="329" t="s">
        <v>199</v>
      </c>
      <c r="C119" s="334">
        <f>C116/C117*C118</f>
        <v>9.07308029522571</v>
      </c>
      <c r="D119" s="334">
        <f>D116/D117*D118</f>
        <v>6.653645833333334</v>
      </c>
      <c r="E119" s="334">
        <f>E116/E117*E118</f>
        <v>6.653645833333334</v>
      </c>
      <c r="F119" s="334">
        <f>F116/F117*F118</f>
        <v>6.653645833333332</v>
      </c>
      <c r="G119" s="334">
        <f>G116/G117*G118</f>
        <v>6.653645833333334</v>
      </c>
      <c r="H119" s="318"/>
      <c r="O119" s="284"/>
    </row>
    <row r="120" spans="1:15" s="282" customFormat="1" ht="12.75">
      <c r="A120" s="319"/>
      <c r="B120" s="317"/>
      <c r="C120" s="319"/>
      <c r="D120" s="319"/>
      <c r="E120" s="319"/>
      <c r="F120" s="318"/>
      <c r="G120" s="318"/>
      <c r="H120" s="318"/>
      <c r="O120" s="284"/>
    </row>
    <row r="121" spans="1:15" s="282" customFormat="1" ht="12.75">
      <c r="A121" s="319"/>
      <c r="B121" s="328"/>
      <c r="C121" s="318"/>
      <c r="D121" s="319"/>
      <c r="E121" s="318"/>
      <c r="F121" s="318"/>
      <c r="G121" s="318"/>
      <c r="H121" s="318"/>
      <c r="O121" s="284"/>
    </row>
    <row r="122" spans="1:15" s="282" customFormat="1" ht="12.75">
      <c r="A122" s="319"/>
      <c r="B122" s="328" t="s">
        <v>200</v>
      </c>
      <c r="C122" s="318"/>
      <c r="D122" s="319"/>
      <c r="E122" s="318"/>
      <c r="F122" s="318"/>
      <c r="G122" s="318"/>
      <c r="H122" s="318"/>
      <c r="O122" s="284"/>
    </row>
    <row r="123" spans="1:15" s="282" customFormat="1" ht="12.75">
      <c r="A123" s="319"/>
      <c r="B123" s="317"/>
      <c r="C123" s="318"/>
      <c r="D123" s="319"/>
      <c r="E123" s="318"/>
      <c r="F123" s="318"/>
      <c r="G123" s="318"/>
      <c r="H123" s="318"/>
      <c r="O123" s="284"/>
    </row>
    <row r="124" spans="1:15" s="282" customFormat="1" ht="12.75">
      <c r="A124" s="319"/>
      <c r="B124" s="323" t="s">
        <v>171</v>
      </c>
      <c r="C124" s="324" t="s">
        <v>7</v>
      </c>
      <c r="D124" s="324" t="s">
        <v>8</v>
      </c>
      <c r="E124" s="324" t="s">
        <v>12</v>
      </c>
      <c r="F124" s="324" t="s">
        <v>13</v>
      </c>
      <c r="G124" s="324" t="s">
        <v>15</v>
      </c>
      <c r="H124" s="318"/>
      <c r="O124" s="284"/>
    </row>
    <row r="125" spans="1:15" s="282" customFormat="1" ht="12.75">
      <c r="A125" s="319"/>
      <c r="B125" s="317" t="s">
        <v>201</v>
      </c>
      <c r="C125" s="320">
        <f>Bilant!C81</f>
        <v>468328.82745000004</v>
      </c>
      <c r="D125" s="320">
        <f>Bilant!D81</f>
        <v>214266.44103855002</v>
      </c>
      <c r="E125" s="320">
        <f>Bilant!E81</f>
        <v>297112.63715617807</v>
      </c>
      <c r="F125" s="320">
        <f>Bilant!F81</f>
        <v>317045.06939148915</v>
      </c>
      <c r="G125" s="320">
        <f>Bilant!G81</f>
        <v>412401.728999051</v>
      </c>
      <c r="H125" s="318"/>
      <c r="O125" s="284"/>
    </row>
    <row r="126" spans="1:15" s="282" customFormat="1" ht="12.75">
      <c r="A126" s="319"/>
      <c r="B126" s="317" t="s">
        <v>202</v>
      </c>
      <c r="C126" s="320">
        <f>IPOTEZE!O147</f>
        <v>6594123.02768</v>
      </c>
      <c r="D126" s="320">
        <f>IPOTEZE!C162</f>
        <v>4113915.6679401603</v>
      </c>
      <c r="E126" s="320">
        <f>IPOTEZE!D162</f>
        <v>5704562.633398619</v>
      </c>
      <c r="F126" s="320">
        <f>IPOTEZE!E162</f>
        <v>6087265.332316591</v>
      </c>
      <c r="G126" s="320">
        <f>IPOTEZE!F162</f>
        <v>7918113.196781779</v>
      </c>
      <c r="H126" s="318"/>
      <c r="O126" s="284"/>
    </row>
    <row r="127" spans="1:15" s="282" customFormat="1" ht="12.75">
      <c r="A127" s="319"/>
      <c r="B127" s="317" t="s">
        <v>195</v>
      </c>
      <c r="C127" s="319">
        <v>365</v>
      </c>
      <c r="D127" s="319">
        <v>365</v>
      </c>
      <c r="E127" s="319">
        <v>365</v>
      </c>
      <c r="F127" s="319">
        <v>365</v>
      </c>
      <c r="G127" s="319">
        <v>365</v>
      </c>
      <c r="H127" s="318"/>
      <c r="O127" s="284"/>
    </row>
    <row r="128" spans="1:15" s="282" customFormat="1" ht="12.75">
      <c r="A128" s="319"/>
      <c r="B128" s="329" t="s">
        <v>203</v>
      </c>
      <c r="C128" s="334">
        <f>C125/C126*C127</f>
        <v>25.92308655778774</v>
      </c>
      <c r="D128" s="334">
        <f>D125/D126*D127</f>
        <v>19.010416666666668</v>
      </c>
      <c r="E128" s="334">
        <f>E125/E126*E127</f>
        <v>19.010416666666668</v>
      </c>
      <c r="F128" s="334">
        <f>F125/F126*F127</f>
        <v>19.010416666666668</v>
      </c>
      <c r="G128" s="334">
        <f>G125/G126*G127</f>
        <v>19.010416666666668</v>
      </c>
      <c r="H128" s="318"/>
      <c r="O128" s="284"/>
    </row>
    <row r="129" spans="1:15" s="282" customFormat="1" ht="12.75">
      <c r="A129" s="319"/>
      <c r="B129" s="317"/>
      <c r="C129" s="318"/>
      <c r="D129" s="319"/>
      <c r="E129" s="318"/>
      <c r="F129" s="318"/>
      <c r="G129" s="318"/>
      <c r="H129" s="318"/>
      <c r="O129" s="284"/>
    </row>
    <row r="130" spans="1:15" s="282" customFormat="1" ht="12.75">
      <c r="A130" s="319"/>
      <c r="B130" s="328"/>
      <c r="C130" s="318"/>
      <c r="D130" s="319"/>
      <c r="E130" s="318"/>
      <c r="F130" s="318"/>
      <c r="G130" s="318"/>
      <c r="H130" s="318"/>
      <c r="O130" s="284"/>
    </row>
    <row r="131" spans="1:15" s="282" customFormat="1" ht="12.75">
      <c r="A131" s="319"/>
      <c r="B131" s="328" t="s">
        <v>204</v>
      </c>
      <c r="C131" s="318"/>
      <c r="D131" s="319"/>
      <c r="E131" s="318"/>
      <c r="F131" s="318"/>
      <c r="G131" s="318"/>
      <c r="H131" s="318"/>
      <c r="O131" s="284"/>
    </row>
    <row r="132" spans="1:15" s="282" customFormat="1" ht="12.75">
      <c r="A132" s="319"/>
      <c r="B132" s="317"/>
      <c r="C132" s="318"/>
      <c r="D132" s="319"/>
      <c r="E132" s="318"/>
      <c r="F132" s="318"/>
      <c r="G132" s="318"/>
      <c r="H132" s="318"/>
      <c r="O132" s="284"/>
    </row>
    <row r="133" spans="1:15" s="282" customFormat="1" ht="12.75">
      <c r="A133" s="319"/>
      <c r="B133" s="323" t="s">
        <v>171</v>
      </c>
      <c r="C133" s="324" t="s">
        <v>7</v>
      </c>
      <c r="D133" s="324" t="s">
        <v>8</v>
      </c>
      <c r="E133" s="324" t="s">
        <v>12</v>
      </c>
      <c r="F133" s="324" t="s">
        <v>13</v>
      </c>
      <c r="G133" s="324" t="s">
        <v>15</v>
      </c>
      <c r="H133" s="318"/>
      <c r="O133" s="284"/>
    </row>
    <row r="134" spans="1:15" s="282" customFormat="1" ht="12.75">
      <c r="A134" s="319"/>
      <c r="B134" s="317" t="s">
        <v>205</v>
      </c>
      <c r="C134" s="320">
        <f>Bilant!C100</f>
        <v>144113.24928000005</v>
      </c>
      <c r="D134" s="320">
        <f>Bilant!D100</f>
        <v>76276.80794112002</v>
      </c>
      <c r="E134" s="320">
        <f>Bilant!E100</f>
        <v>129670.57349990403</v>
      </c>
      <c r="F134" s="320">
        <f>Bilant!F100</f>
        <v>158716.78196388253</v>
      </c>
      <c r="G134" s="320">
        <f>Bilant!G100</f>
        <v>188872.9705370202</v>
      </c>
      <c r="H134" s="318"/>
      <c r="O134" s="284"/>
    </row>
    <row r="135" spans="1:15" s="282" customFormat="1" ht="12.75">
      <c r="A135" s="319"/>
      <c r="B135" s="317" t="s">
        <v>206</v>
      </c>
      <c r="C135" s="320">
        <f>IPOTEZE!O148</f>
        <v>830071.1452416</v>
      </c>
      <c r="D135" s="320">
        <f>IPOTEZE!C167</f>
        <v>508003.54088785936</v>
      </c>
      <c r="E135" s="320">
        <f>IPOTEZE!D167</f>
        <v>863606.0195093609</v>
      </c>
      <c r="F135" s="320">
        <f>IPOTEZE!E167</f>
        <v>1057053.7678794577</v>
      </c>
      <c r="G135" s="320">
        <f>IPOTEZE!F167</f>
        <v>1257893.9837765545</v>
      </c>
      <c r="H135" s="318"/>
      <c r="O135" s="284"/>
    </row>
    <row r="136" spans="1:15" s="282" customFormat="1" ht="12.75">
      <c r="A136" s="319"/>
      <c r="B136" s="317" t="s">
        <v>195</v>
      </c>
      <c r="C136" s="319">
        <v>365</v>
      </c>
      <c r="D136" s="319">
        <v>365</v>
      </c>
      <c r="E136" s="319">
        <v>365</v>
      </c>
      <c r="F136" s="319">
        <v>365</v>
      </c>
      <c r="G136" s="319">
        <v>365</v>
      </c>
      <c r="H136" s="318"/>
      <c r="O136" s="284"/>
    </row>
    <row r="137" spans="1:15" s="282" customFormat="1" ht="12.75">
      <c r="A137" s="319"/>
      <c r="B137" s="329" t="s">
        <v>207</v>
      </c>
      <c r="C137" s="334">
        <f>C134/C135*C136</f>
        <v>63.36967173083688</v>
      </c>
      <c r="D137" s="334">
        <f>D134/D135*D136</f>
        <v>54.804804804804796</v>
      </c>
      <c r="E137" s="334">
        <f>E134/E135*E136</f>
        <v>54.8048048048048</v>
      </c>
      <c r="F137" s="334">
        <f>F134/F135*F136</f>
        <v>54.8048048048048</v>
      </c>
      <c r="G137" s="334">
        <f>G134/G135*G136</f>
        <v>54.80480480480482</v>
      </c>
      <c r="H137" s="318"/>
      <c r="O137" s="284"/>
    </row>
    <row r="138" spans="1:15" s="282" customFormat="1" ht="12.75">
      <c r="A138" s="319"/>
      <c r="B138" s="317"/>
      <c r="C138" s="318"/>
      <c r="D138" s="319"/>
      <c r="E138" s="318"/>
      <c r="F138" s="318"/>
      <c r="G138" s="318"/>
      <c r="H138" s="318"/>
      <c r="O138" s="284"/>
    </row>
    <row r="139" spans="1:15" s="282" customFormat="1" ht="12.75">
      <c r="A139" s="319"/>
      <c r="B139" s="317"/>
      <c r="C139" s="318"/>
      <c r="D139" s="319"/>
      <c r="E139" s="318"/>
      <c r="F139" s="318"/>
      <c r="G139" s="318"/>
      <c r="H139" s="318"/>
      <c r="O139" s="284"/>
    </row>
    <row r="140" spans="1:15" s="282" customFormat="1" ht="12.75">
      <c r="A140" s="319"/>
      <c r="B140" s="321" t="s">
        <v>208</v>
      </c>
      <c r="C140" s="318"/>
      <c r="D140" s="319"/>
      <c r="E140" s="318"/>
      <c r="F140" s="318"/>
      <c r="G140" s="318"/>
      <c r="H140" s="318"/>
      <c r="O140" s="284"/>
    </row>
    <row r="141" spans="1:15" s="282" customFormat="1" ht="12.75">
      <c r="A141" s="319"/>
      <c r="B141" s="317"/>
      <c r="C141" s="318"/>
      <c r="D141" s="319"/>
      <c r="E141" s="318"/>
      <c r="F141" s="318"/>
      <c r="G141" s="318"/>
      <c r="H141" s="318"/>
      <c r="O141" s="284"/>
    </row>
    <row r="142" spans="1:15" s="282" customFormat="1" ht="12.75">
      <c r="A142" s="319"/>
      <c r="B142" s="328" t="s">
        <v>209</v>
      </c>
      <c r="C142" s="318"/>
      <c r="D142" s="319"/>
      <c r="E142" s="318"/>
      <c r="F142" s="318"/>
      <c r="G142" s="318"/>
      <c r="H142" s="318"/>
      <c r="O142" s="284"/>
    </row>
    <row r="143" spans="1:15" s="282" customFormat="1" ht="12.75">
      <c r="A143" s="319"/>
      <c r="B143" s="317"/>
      <c r="C143" s="318"/>
      <c r="D143" s="319"/>
      <c r="E143" s="318"/>
      <c r="F143" s="318"/>
      <c r="G143" s="318"/>
      <c r="H143" s="318"/>
      <c r="O143" s="284"/>
    </row>
    <row r="144" spans="1:15" s="282" customFormat="1" ht="12.75">
      <c r="A144" s="319"/>
      <c r="B144" s="323" t="s">
        <v>171</v>
      </c>
      <c r="C144" s="324" t="s">
        <v>7</v>
      </c>
      <c r="D144" s="324" t="s">
        <v>8</v>
      </c>
      <c r="E144" s="324" t="s">
        <v>12</v>
      </c>
      <c r="F144" s="324" t="s">
        <v>13</v>
      </c>
      <c r="G144" s="324" t="s">
        <v>15</v>
      </c>
      <c r="H144" s="318"/>
      <c r="O144" s="284"/>
    </row>
    <row r="145" spans="1:15" s="282" customFormat="1" ht="12.75">
      <c r="A145" s="319"/>
      <c r="B145" s="317" t="s">
        <v>210</v>
      </c>
      <c r="C145" s="320">
        <f>'Cont de Rezultat'!D67</f>
        <v>6656808.854026668</v>
      </c>
      <c r="D145" s="320">
        <f>'Cont de Rezultat'!E67</f>
        <v>5978119.545967203</v>
      </c>
      <c r="E145" s="320">
        <f>'Cont de Rezultat'!F67</f>
        <v>6307281.087371543</v>
      </c>
      <c r="F145" s="320">
        <f>'Cont de Rezultat'!G67</f>
        <v>6812631.293135226</v>
      </c>
      <c r="G145" s="320">
        <f>'Cont de Rezultat'!H67</f>
        <v>7146113.137824494</v>
      </c>
      <c r="H145" s="318"/>
      <c r="O145" s="284"/>
    </row>
    <row r="146" spans="1:15" s="282" customFormat="1" ht="12.75">
      <c r="A146" s="319"/>
      <c r="B146" s="317" t="s">
        <v>194</v>
      </c>
      <c r="C146" s="320">
        <f>'Cont de Rezultat'!D55</f>
        <v>26376492.11072</v>
      </c>
      <c r="D146" s="320">
        <f>'Cont de Rezultat'!E55</f>
        <v>27426104.452934403</v>
      </c>
      <c r="E146" s="320">
        <f>'Cont de Rezultat'!F55</f>
        <v>28522813.16699309</v>
      </c>
      <c r="F146" s="320">
        <f>'Cont de Rezultat'!G55</f>
        <v>30436326.661582954</v>
      </c>
      <c r="G146" s="320">
        <f>'Cont de Rezultat'!H55</f>
        <v>31672452.787127115</v>
      </c>
      <c r="H146" s="318"/>
      <c r="O146" s="284"/>
    </row>
    <row r="147" spans="1:15" s="282" customFormat="1" ht="12.75">
      <c r="A147" s="319"/>
      <c r="B147" s="329" t="s">
        <v>211</v>
      </c>
      <c r="C147" s="334">
        <f>C145*100/C146</f>
        <v>25.237657934510523</v>
      </c>
      <c r="D147" s="334">
        <f>D145*100/D146</f>
        <v>21.797187990099648</v>
      </c>
      <c r="E147" s="334">
        <f>E145*100/E146</f>
        <v>22.113110128528266</v>
      </c>
      <c r="F147" s="334">
        <f>F145*100/F146</f>
        <v>22.38322439131329</v>
      </c>
      <c r="G147" s="334">
        <f>G145*100/G146</f>
        <v>22.562550446768512</v>
      </c>
      <c r="H147" s="318"/>
      <c r="O147" s="284"/>
    </row>
    <row r="148" spans="1:15" s="282" customFormat="1" ht="12.75">
      <c r="A148" s="319"/>
      <c r="B148" s="317"/>
      <c r="C148" s="318"/>
      <c r="D148" s="319"/>
      <c r="E148" s="318"/>
      <c r="F148" s="318"/>
      <c r="G148" s="318"/>
      <c r="H148" s="318"/>
      <c r="O148" s="284"/>
    </row>
    <row r="149" spans="1:15" s="282" customFormat="1" ht="12.75">
      <c r="A149" s="319"/>
      <c r="B149" s="328" t="s">
        <v>212</v>
      </c>
      <c r="C149" s="318"/>
      <c r="D149" s="319"/>
      <c r="E149" s="318"/>
      <c r="F149" s="318"/>
      <c r="G149" s="318"/>
      <c r="H149" s="318"/>
      <c r="O149" s="284"/>
    </row>
    <row r="150" spans="1:15" s="282" customFormat="1" ht="12.75">
      <c r="A150" s="319"/>
      <c r="B150" s="317"/>
      <c r="C150" s="318"/>
      <c r="D150" s="319"/>
      <c r="E150" s="318"/>
      <c r="F150" s="318"/>
      <c r="G150" s="318"/>
      <c r="H150" s="318"/>
      <c r="O150" s="284"/>
    </row>
    <row r="151" spans="1:15" s="282" customFormat="1" ht="12.75">
      <c r="A151" s="319"/>
      <c r="B151" s="323" t="s">
        <v>171</v>
      </c>
      <c r="C151" s="324" t="s">
        <v>7</v>
      </c>
      <c r="D151" s="324" t="s">
        <v>8</v>
      </c>
      <c r="E151" s="324" t="s">
        <v>12</v>
      </c>
      <c r="F151" s="324" t="s">
        <v>13</v>
      </c>
      <c r="G151" s="324" t="s">
        <v>15</v>
      </c>
      <c r="H151" s="318"/>
      <c r="O151" s="284"/>
    </row>
    <row r="152" spans="1:15" s="282" customFormat="1" ht="12.75">
      <c r="A152" s="319"/>
      <c r="B152" s="317" t="s">
        <v>213</v>
      </c>
      <c r="C152" s="320">
        <f>'Cont de Rezultat'!D76</f>
        <v>4662154.437382401</v>
      </c>
      <c r="D152" s="320">
        <f>'Cont de Rezultat'!E76</f>
        <v>4446010.41861245</v>
      </c>
      <c r="E152" s="320">
        <f>'Cont de Rezultat'!F76</f>
        <v>5097566.113392096</v>
      </c>
      <c r="F152" s="320">
        <f>'Cont de Rezultat'!G76</f>
        <v>5754530.286233589</v>
      </c>
      <c r="G152" s="320">
        <f>'Cont de Rezultat'!H76</f>
        <v>6002735.035772575</v>
      </c>
      <c r="H152" s="318"/>
      <c r="O152" s="284"/>
    </row>
    <row r="153" spans="1:15" s="282" customFormat="1" ht="12.75">
      <c r="A153" s="319"/>
      <c r="B153" s="317" t="s">
        <v>194</v>
      </c>
      <c r="C153" s="320">
        <f>'Cont de Rezultat'!D55</f>
        <v>26376492.11072</v>
      </c>
      <c r="D153" s="320">
        <f>'Cont de Rezultat'!E55</f>
        <v>27426104.452934403</v>
      </c>
      <c r="E153" s="320">
        <f>'Cont de Rezultat'!F55</f>
        <v>28522813.16699309</v>
      </c>
      <c r="F153" s="320">
        <f>'Cont de Rezultat'!G55</f>
        <v>30436326.661582954</v>
      </c>
      <c r="G153" s="320">
        <f>'Cont de Rezultat'!H55</f>
        <v>31672452.787127115</v>
      </c>
      <c r="H153" s="318"/>
      <c r="O153" s="284"/>
    </row>
    <row r="154" spans="1:15" s="282" customFormat="1" ht="12.75">
      <c r="A154" s="319"/>
      <c r="B154" s="329" t="s">
        <v>214</v>
      </c>
      <c r="C154" s="334">
        <f>C152*100/C153</f>
        <v>17.675414978656683</v>
      </c>
      <c r="D154" s="334">
        <f>D152*100/D153</f>
        <v>16.21087101976948</v>
      </c>
      <c r="E154" s="334">
        <f>E152*100/E153</f>
        <v>17.8718911193902</v>
      </c>
      <c r="F154" s="334">
        <f>F152*100/F153</f>
        <v>18.906783168078615</v>
      </c>
      <c r="G154" s="334">
        <f>G152*100/G153</f>
        <v>18.95254237528555</v>
      </c>
      <c r="H154" s="318"/>
      <c r="O154" s="284"/>
    </row>
    <row r="155" spans="1:15" s="282" customFormat="1" ht="12.75">
      <c r="A155" s="319"/>
      <c r="B155" s="328"/>
      <c r="C155" s="318"/>
      <c r="D155" s="319"/>
      <c r="E155" s="318"/>
      <c r="F155" s="318"/>
      <c r="G155" s="318"/>
      <c r="H155" s="318"/>
      <c r="O155" s="284"/>
    </row>
    <row r="156" spans="1:15" s="282" customFormat="1" ht="12.75">
      <c r="A156" s="319"/>
      <c r="B156" s="328" t="s">
        <v>215</v>
      </c>
      <c r="C156" s="318"/>
      <c r="D156" s="319"/>
      <c r="E156" s="318"/>
      <c r="F156" s="318"/>
      <c r="G156" s="318"/>
      <c r="H156" s="318"/>
      <c r="O156" s="284"/>
    </row>
    <row r="157" spans="1:15" s="282" customFormat="1" ht="12.75">
      <c r="A157" s="319"/>
      <c r="B157" s="317"/>
      <c r="C157" s="318"/>
      <c r="D157" s="319"/>
      <c r="E157" s="318"/>
      <c r="F157" s="318"/>
      <c r="G157" s="318"/>
      <c r="H157" s="318"/>
      <c r="O157" s="284"/>
    </row>
    <row r="158" spans="1:15" s="282" customFormat="1" ht="12.75">
      <c r="A158" s="319"/>
      <c r="B158" s="323" t="s">
        <v>171</v>
      </c>
      <c r="C158" s="324" t="s">
        <v>7</v>
      </c>
      <c r="D158" s="324" t="s">
        <v>8</v>
      </c>
      <c r="E158" s="324" t="s">
        <v>12</v>
      </c>
      <c r="F158" s="324" t="s">
        <v>13</v>
      </c>
      <c r="G158" s="324" t="s">
        <v>15</v>
      </c>
      <c r="H158" s="318"/>
      <c r="O158" s="284"/>
    </row>
    <row r="159" spans="1:15" s="282" customFormat="1" ht="12.75">
      <c r="A159" s="319"/>
      <c r="B159" s="317" t="s">
        <v>213</v>
      </c>
      <c r="C159" s="320">
        <f>C152</f>
        <v>4662154.437382401</v>
      </c>
      <c r="D159" s="320">
        <f>D152</f>
        <v>4446010.41861245</v>
      </c>
      <c r="E159" s="320">
        <f>E152</f>
        <v>5097566.113392096</v>
      </c>
      <c r="F159" s="320">
        <f>F152</f>
        <v>5754530.286233589</v>
      </c>
      <c r="G159" s="320">
        <f>G152</f>
        <v>6002735.035772575</v>
      </c>
      <c r="H159" s="318"/>
      <c r="O159" s="284"/>
    </row>
    <row r="160" spans="1:15" s="282" customFormat="1" ht="12.75">
      <c r="A160" s="319"/>
      <c r="B160" s="317" t="s">
        <v>184</v>
      </c>
      <c r="C160" s="320">
        <f>Bilant!C94</f>
        <v>14149831.27177504</v>
      </c>
      <c r="D160" s="320">
        <f>Bilant!D94</f>
        <v>17484339.08573438</v>
      </c>
      <c r="E160" s="320">
        <f>Bilant!E94</f>
        <v>18508730.614082403</v>
      </c>
      <c r="F160" s="320">
        <f>Bilant!F94</f>
        <v>24263260.900315993</v>
      </c>
      <c r="G160" s="320">
        <f>Bilant!G94</f>
        <v>24263260.900315993</v>
      </c>
      <c r="H160" s="318"/>
      <c r="O160" s="284"/>
    </row>
    <row r="161" spans="1:15" s="282" customFormat="1" ht="12.75">
      <c r="A161" s="319"/>
      <c r="B161" s="329" t="s">
        <v>216</v>
      </c>
      <c r="C161" s="334">
        <f>C159*100/C160</f>
        <v>32.948480782821036</v>
      </c>
      <c r="D161" s="334">
        <f>D159*100/D160</f>
        <v>25.428530050872716</v>
      </c>
      <c r="E161" s="334">
        <f>E159*100/E160</f>
        <v>27.541413939611846</v>
      </c>
      <c r="F161" s="334">
        <f>F159*100/F160</f>
        <v>23.717052336352058</v>
      </c>
      <c r="G161" s="334">
        <f>G159*100/G160</f>
        <v>24.740017677073237</v>
      </c>
      <c r="H161" s="318"/>
      <c r="O161" s="284"/>
    </row>
    <row r="162" spans="1:15" s="282" customFormat="1" ht="12.75">
      <c r="A162" s="319"/>
      <c r="B162" s="317"/>
      <c r="C162" s="318"/>
      <c r="D162" s="319"/>
      <c r="E162" s="318"/>
      <c r="F162" s="318"/>
      <c r="G162" s="318"/>
      <c r="H162" s="318"/>
      <c r="O162" s="284"/>
    </row>
    <row r="163" spans="1:15" s="282" customFormat="1" ht="12.75">
      <c r="A163" s="319"/>
      <c r="B163" s="317"/>
      <c r="C163" s="318"/>
      <c r="D163" s="319"/>
      <c r="E163" s="318"/>
      <c r="F163" s="318"/>
      <c r="G163" s="318"/>
      <c r="H163" s="318"/>
      <c r="O163" s="284"/>
    </row>
    <row r="164" spans="1:15" s="282" customFormat="1" ht="12.75">
      <c r="A164" s="319"/>
      <c r="B164" s="328" t="s">
        <v>217</v>
      </c>
      <c r="C164" s="318"/>
      <c r="D164" s="319"/>
      <c r="E164" s="318"/>
      <c r="F164" s="318"/>
      <c r="G164" s="318"/>
      <c r="H164" s="318"/>
      <c r="O164" s="284"/>
    </row>
    <row r="165" spans="1:15" s="282" customFormat="1" ht="12.75">
      <c r="A165" s="319"/>
      <c r="B165" s="317"/>
      <c r="C165" s="318"/>
      <c r="D165" s="319"/>
      <c r="E165" s="318"/>
      <c r="F165" s="318"/>
      <c r="G165" s="318"/>
      <c r="H165" s="318"/>
      <c r="O165" s="284"/>
    </row>
    <row r="166" spans="1:15" s="282" customFormat="1" ht="12.75">
      <c r="A166" s="283"/>
      <c r="B166" s="323" t="s">
        <v>171</v>
      </c>
      <c r="C166" s="324" t="s">
        <v>7</v>
      </c>
      <c r="D166" s="324" t="s">
        <v>8</v>
      </c>
      <c r="E166" s="324" t="s">
        <v>12</v>
      </c>
      <c r="F166" s="324" t="s">
        <v>13</v>
      </c>
      <c r="G166" s="324" t="s">
        <v>15</v>
      </c>
      <c r="O166" s="284"/>
    </row>
    <row r="167" spans="1:15" s="282" customFormat="1" ht="25.5">
      <c r="A167" s="283"/>
      <c r="B167" s="338" t="s">
        <v>218</v>
      </c>
      <c r="C167" s="320">
        <f>'Cont de Rezultat'!D74+'Cont de Rezultat'!D69</f>
        <v>6678308.854026668</v>
      </c>
      <c r="D167" s="320">
        <f>'Cont de Rezultat'!E74+'Cont de Rezultat'!E69</f>
        <v>5988119.545967203</v>
      </c>
      <c r="E167" s="320">
        <f>'Cont de Rezultat'!F74+'Cont de Rezultat'!F69</f>
        <v>6337281.087371543</v>
      </c>
      <c r="F167" s="320">
        <f>'Cont de Rezultat'!G74+'Cont de Rezultat'!G69</f>
        <v>6862631.293135226</v>
      </c>
      <c r="G167" s="320">
        <f>'Cont de Rezultat'!H74+'Cont de Rezultat'!H69</f>
        <v>7146113.137824494</v>
      </c>
      <c r="O167" s="284"/>
    </row>
    <row r="168" spans="1:15" s="282" customFormat="1" ht="12.75">
      <c r="A168" s="283"/>
      <c r="B168" s="317" t="s">
        <v>180</v>
      </c>
      <c r="C168" s="320">
        <f>Bilant!C85</f>
        <v>21554235.740078602</v>
      </c>
      <c r="D168" s="320">
        <f>Bilant!D85</f>
        <v>22005250.930089146</v>
      </c>
      <c r="E168" s="320">
        <f>Bilant!E85</f>
        <v>22830589.886912614</v>
      </c>
      <c r="F168" s="320">
        <f>Bilant!F85</f>
        <v>24830747.088496666</v>
      </c>
      <c r="G168" s="320">
        <f>Bilant!G85</f>
        <v>30880930.019998245</v>
      </c>
      <c r="O168" s="284"/>
    </row>
    <row r="169" spans="1:15" s="282" customFormat="1" ht="12.75">
      <c r="A169" s="283"/>
      <c r="B169" s="329" t="s">
        <v>219</v>
      </c>
      <c r="C169" s="334">
        <f>C167*100/C168</f>
        <v>30.98374228880135</v>
      </c>
      <c r="D169" s="334">
        <f>D167*100/D168</f>
        <v>27.212230230827654</v>
      </c>
      <c r="E169" s="334">
        <f>E167*100/E168</f>
        <v>27.757850842935596</v>
      </c>
      <c r="F169" s="334">
        <f>F167*100/F168</f>
        <v>27.63763518140167</v>
      </c>
      <c r="G169" s="334">
        <f>G167*100/G168</f>
        <v>23.14086115022031</v>
      </c>
      <c r="O169" s="284"/>
    </row>
    <row r="170" spans="1:15" s="282" customFormat="1" ht="12.75">
      <c r="A170" s="283"/>
      <c r="B170" s="317"/>
      <c r="C170" s="318"/>
      <c r="D170" s="319"/>
      <c r="E170" s="318"/>
      <c r="F170" s="318"/>
      <c r="G170" s="318"/>
      <c r="O170" s="284"/>
    </row>
    <row r="171" s="282" customFormat="1" ht="12.75"/>
    <row r="172" s="282" customFormat="1" ht="12.75"/>
  </sheetData>
  <sheetProtection password="CD2C" sheet="1" objects="1" scenarios="1"/>
  <conditionalFormatting sqref="C11:G11">
    <cfRule type="cellIs" priority="1" dxfId="0" operator="lessThan" stopIfTrue="1">
      <formula>1.2</formula>
    </cfRule>
  </conditionalFormatting>
  <conditionalFormatting sqref="C12:G12">
    <cfRule type="cellIs" priority="2" dxfId="0" operator="lessThan" stopIfTrue="1">
      <formula>0.2</formula>
    </cfRule>
  </conditionalFormatting>
  <conditionalFormatting sqref="C14:G14 C16:G16">
    <cfRule type="cellIs" priority="3" dxfId="0" operator="greaterThan" stopIfTrue="1">
      <formula>1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5:M72"/>
  <sheetViews>
    <sheetView showGridLines="0" showRowColHeaders="0" zoomScalePageLayoutView="0" workbookViewId="0" topLeftCell="A1">
      <selection activeCell="D12" sqref="D12"/>
    </sheetView>
  </sheetViews>
  <sheetFormatPr defaultColWidth="8.8515625" defaultRowHeight="12.75"/>
  <cols>
    <col min="1" max="2" width="8.8515625" style="34" customWidth="1"/>
    <col min="3" max="3" width="15.8515625" style="34" customWidth="1"/>
    <col min="4" max="4" width="14.00390625" style="34" customWidth="1"/>
    <col min="5" max="5" width="12.8515625" style="34" customWidth="1"/>
    <col min="6" max="6" width="13.7109375" style="34" customWidth="1"/>
    <col min="7" max="7" width="14.421875" style="34" customWidth="1"/>
    <col min="8" max="8" width="11.8515625" style="34" customWidth="1"/>
    <col min="9" max="9" width="12.00390625" style="34" customWidth="1"/>
    <col min="10" max="10" width="16.57421875" style="34" customWidth="1"/>
    <col min="11" max="11" width="9.421875" style="34" customWidth="1"/>
    <col min="12" max="12" width="11.57421875" style="34" customWidth="1"/>
    <col min="13" max="16384" width="8.8515625" style="34" customWidth="1"/>
  </cols>
  <sheetData>
    <row r="4" ht="13.5" thickBot="1"/>
    <row r="5" spans="2:6" ht="15.75">
      <c r="B5" s="340"/>
      <c r="C5" s="341" t="s">
        <v>258</v>
      </c>
      <c r="D5" s="342"/>
      <c r="E5" s="342"/>
      <c r="F5" s="343"/>
    </row>
    <row r="6" spans="2:7" ht="18">
      <c r="B6" s="344"/>
      <c r="C6" s="345">
        <f>J40</f>
        <v>20481969.326050993</v>
      </c>
      <c r="D6" s="346"/>
      <c r="E6" s="346"/>
      <c r="F6" s="347"/>
      <c r="G6" s="360" t="str">
        <f>IF(OR(C6&lt;0),"Proiectul de afacere este inacceptabil !","Proiectul de afacere este acceptabil !")</f>
        <v>Proiectul de afacere este acceptabil !</v>
      </c>
    </row>
    <row r="7" spans="2:7" ht="15.75">
      <c r="B7" s="344"/>
      <c r="C7" s="348"/>
      <c r="D7" s="346"/>
      <c r="E7" s="346"/>
      <c r="F7" s="347"/>
      <c r="G7" s="362">
        <f>IPOTEZE!C205/100</f>
        <v>0.19</v>
      </c>
    </row>
    <row r="8" spans="2:6" ht="15.75">
      <c r="B8" s="344"/>
      <c r="C8" s="348" t="s">
        <v>259</v>
      </c>
      <c r="D8" s="346"/>
      <c r="E8" s="346"/>
      <c r="F8" s="347"/>
    </row>
    <row r="9" spans="2:7" ht="18">
      <c r="B9" s="344"/>
      <c r="C9" s="349">
        <f>M58</f>
        <v>1.4929335284829741</v>
      </c>
      <c r="D9" s="346"/>
      <c r="E9" s="346"/>
      <c r="F9" s="347"/>
      <c r="G9" s="360">
        <f>IF(C9&lt;IPOTEZE!C205/100,"Proiectul de Afacere este inacceptabil !","")</f>
      </c>
    </row>
    <row r="10" spans="2:6" ht="15.75">
      <c r="B10" s="344"/>
      <c r="C10" s="348"/>
      <c r="D10" s="346"/>
      <c r="E10" s="346"/>
      <c r="F10" s="347"/>
    </row>
    <row r="11" spans="2:6" ht="15.75">
      <c r="B11" s="344"/>
      <c r="C11" s="348" t="s">
        <v>286</v>
      </c>
      <c r="D11" s="346"/>
      <c r="E11" s="346"/>
      <c r="F11" s="347"/>
    </row>
    <row r="12" spans="2:6" ht="15.75">
      <c r="B12" s="344"/>
      <c r="C12" s="350">
        <f>H67</f>
        <v>2.6587924465724857</v>
      </c>
      <c r="D12" s="346"/>
      <c r="E12" s="346"/>
      <c r="F12" s="347"/>
    </row>
    <row r="13" spans="2:6" ht="13.5" thickBot="1">
      <c r="B13" s="351"/>
      <c r="C13" s="352"/>
      <c r="D13" s="352"/>
      <c r="E13" s="352"/>
      <c r="F13" s="353"/>
    </row>
    <row r="17" ht="12.75"/>
    <row r="18" ht="12.75"/>
    <row r="19" spans="3:12" ht="12.75">
      <c r="C19" s="238"/>
      <c r="D19" s="238"/>
      <c r="E19" s="238"/>
      <c r="F19" s="238"/>
      <c r="G19" s="238"/>
      <c r="H19" s="238"/>
      <c r="I19" s="238"/>
      <c r="J19" s="238"/>
      <c r="K19" s="238"/>
      <c r="L19" s="238"/>
    </row>
    <row r="20" spans="3:12" ht="12.75"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3:12" ht="12.75">
      <c r="C21" s="238"/>
      <c r="D21" s="238"/>
      <c r="E21" s="238"/>
      <c r="F21" s="238"/>
      <c r="G21" s="238"/>
      <c r="H21" s="238"/>
      <c r="I21" s="238"/>
      <c r="J21" s="238"/>
      <c r="K21" s="238"/>
      <c r="L21" s="238"/>
    </row>
    <row r="22" spans="3:12" ht="12.75">
      <c r="C22" s="238"/>
      <c r="D22" s="238"/>
      <c r="E22" s="238"/>
      <c r="F22" s="238"/>
      <c r="G22" s="238"/>
      <c r="H22" s="238"/>
      <c r="I22" s="238"/>
      <c r="J22" s="238"/>
      <c r="K22" s="238"/>
      <c r="L22" s="238"/>
    </row>
    <row r="23" spans="3:12" ht="12.75">
      <c r="C23" s="238"/>
      <c r="D23" s="238"/>
      <c r="E23" s="238"/>
      <c r="F23" s="238"/>
      <c r="G23" s="238"/>
      <c r="H23" s="238"/>
      <c r="I23" s="238"/>
      <c r="J23" s="238"/>
      <c r="K23" s="238"/>
      <c r="L23" s="238"/>
    </row>
    <row r="24" spans="3:12" ht="12.75">
      <c r="C24" s="238"/>
      <c r="D24" s="238"/>
      <c r="E24" s="238"/>
      <c r="F24" s="238"/>
      <c r="G24" s="238"/>
      <c r="H24" s="238"/>
      <c r="I24" s="238"/>
      <c r="J24" s="238"/>
      <c r="K24" s="238"/>
      <c r="L24" s="238"/>
    </row>
    <row r="25" spans="3:12" ht="12.75">
      <c r="C25" s="339"/>
      <c r="D25" s="339"/>
      <c r="E25" s="339"/>
      <c r="F25" s="339"/>
      <c r="G25" s="339"/>
      <c r="H25" s="339"/>
      <c r="I25" s="339"/>
      <c r="J25" s="339"/>
      <c r="K25" s="339"/>
      <c r="L25" s="339"/>
    </row>
    <row r="26" spans="3:12" s="318" customFormat="1" ht="12.75"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2:12" s="318" customFormat="1" ht="12.75">
      <c r="B27" s="438" t="s">
        <v>233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</row>
    <row r="28" spans="3:12" s="318" customFormat="1" ht="30" customHeight="1">
      <c r="C28" s="439" t="s">
        <v>0</v>
      </c>
      <c r="D28" s="439" t="s">
        <v>234</v>
      </c>
      <c r="E28" s="439" t="s">
        <v>235</v>
      </c>
      <c r="F28" s="439" t="s">
        <v>236</v>
      </c>
      <c r="G28" s="439" t="s">
        <v>237</v>
      </c>
      <c r="H28" s="439" t="s">
        <v>47</v>
      </c>
      <c r="I28" s="440" t="s">
        <v>238</v>
      </c>
      <c r="J28" s="372" t="s">
        <v>239</v>
      </c>
      <c r="K28" s="440"/>
      <c r="L28" s="372"/>
    </row>
    <row r="29" spans="3:12" s="318" customFormat="1" ht="12.75">
      <c r="C29" s="319" t="s">
        <v>7</v>
      </c>
      <c r="D29" s="320">
        <f>'Flux de Numerar'!C67</f>
        <v>7567000</v>
      </c>
      <c r="E29" s="320">
        <f>IF('Flux de Numerar'!C64&lt;0,'Cont de Rezultat'!D73-'Flux de Numerar'!C64-'Flux de Numerar'!C62+'Flux de Numerar'!C63,'Cont de Rezultat'!D73-'Flux de Numerar'!C62+'Flux de Numerar'!C63)</f>
        <v>23141151.2138702</v>
      </c>
      <c r="F29" s="320">
        <f>IF('Flux de Numerar'!C64&gt;0,'Cont de Rezultat'!D72+'Flux de Numerar'!C64,'Cont de Rezultat'!D72)</f>
        <v>27762992.11072</v>
      </c>
      <c r="G29" s="320">
        <f aca="true" t="shared" si="0" ref="G29:G38">F29-E29-D29</f>
        <v>-2945159.1031502</v>
      </c>
      <c r="H29" s="320"/>
      <c r="I29" s="319">
        <f>IPOTEZE!C205/IPOTEZE!C205</f>
        <v>1</v>
      </c>
      <c r="J29" s="320">
        <f aca="true" t="shared" si="1" ref="J29:J38">I29*G29</f>
        <v>-2945159.1031502</v>
      </c>
      <c r="K29" s="319"/>
      <c r="L29" s="319"/>
    </row>
    <row r="30" spans="3:12" s="318" customFormat="1" ht="12.75">
      <c r="C30" s="319" t="s">
        <v>8</v>
      </c>
      <c r="D30" s="320">
        <f>'Flux de Numerar'!D67</f>
        <v>0</v>
      </c>
      <c r="E30" s="320">
        <f>IF('Flux de Numerar'!D64&lt;0,'Cont de Rezultat'!E73-'Flux de Numerar'!D64-'Flux de Numerar'!D62+'Flux de Numerar'!D63,'Cont de Rezultat'!E73-'Flux de Numerar'!D62+'Flux de Numerar'!D63)</f>
        <v>24674156.380068902</v>
      </c>
      <c r="F30" s="320">
        <f>IF('Flux de Numerar'!D64&gt;0,'Cont de Rezultat'!E72+'Flux de Numerar'!D64,'Cont de Rezultat'!E72)</f>
        <v>28814754.452934403</v>
      </c>
      <c r="G30" s="320">
        <f t="shared" si="0"/>
        <v>4140598.072865501</v>
      </c>
      <c r="H30" s="320"/>
      <c r="I30" s="441">
        <f>100/(100+IPOTEZE!C205)</f>
        <v>0.8403361344537815</v>
      </c>
      <c r="J30" s="320">
        <f t="shared" si="1"/>
        <v>3479494.1788785723</v>
      </c>
      <c r="K30" s="319"/>
      <c r="L30" s="319"/>
    </row>
    <row r="31" spans="3:12" s="318" customFormat="1" ht="12.75">
      <c r="C31" s="319" t="s">
        <v>12</v>
      </c>
      <c r="D31" s="320">
        <f>'Flux de Numerar'!E67</f>
        <v>0</v>
      </c>
      <c r="E31" s="320">
        <f>IF('Flux de Numerar'!E64&lt;0,'Cont de Rezultat'!F73-'Flux de Numerar'!E64-'Flux de Numerar'!E62+'Flux de Numerar'!E63,'Cont de Rezultat'!F73-'Flux de Numerar'!E62+'Flux de Numerar'!E63)</f>
        <v>24464131.192559548</v>
      </c>
      <c r="F31" s="320">
        <f>IF('Flux de Numerar'!E64&gt;0,'Cont de Rezultat'!F72+'Flux de Numerar'!E64,'Cont de Rezultat'!F72)</f>
        <v>29945249.66699309</v>
      </c>
      <c r="G31" s="320">
        <f t="shared" si="0"/>
        <v>5481118.474433541</v>
      </c>
      <c r="H31" s="320"/>
      <c r="I31" s="441">
        <f aca="true" t="shared" si="2" ref="I31:I38">$I$30*I30</f>
        <v>0.706164818868724</v>
      </c>
      <c r="J31" s="320">
        <f t="shared" si="1"/>
        <v>3870573.0346963783</v>
      </c>
      <c r="K31" s="319"/>
      <c r="L31" s="319"/>
    </row>
    <row r="32" spans="3:12" s="318" customFormat="1" ht="12.75">
      <c r="C32" s="319" t="s">
        <v>13</v>
      </c>
      <c r="D32" s="320">
        <f>'Flux de Numerar'!F67</f>
        <v>3300000</v>
      </c>
      <c r="E32" s="320">
        <f>IF('Flux de Numerar'!F64&lt;0,'Cont de Rezultat'!G73-'Flux de Numerar'!F64-'Flux de Numerar'!F62+'Flux de Numerar'!F63,'Cont de Rezultat'!G73-'Flux de Numerar'!F62+'Flux de Numerar'!F63)</f>
        <v>25730642.90091258</v>
      </c>
      <c r="F32" s="320">
        <f>IF('Flux de Numerar'!F64&gt;0,'Cont de Rezultat'!G72+'Flux de Numerar'!F64,'Cont de Rezultat'!G72)</f>
        <v>31892687.526582953</v>
      </c>
      <c r="G32" s="320">
        <f t="shared" si="0"/>
        <v>2862044.6256703734</v>
      </c>
      <c r="H32" s="320"/>
      <c r="I32" s="441">
        <f t="shared" si="2"/>
        <v>0.5934158141753982</v>
      </c>
      <c r="J32" s="320">
        <f t="shared" si="1"/>
        <v>1698382.5417485076</v>
      </c>
      <c r="K32" s="319"/>
      <c r="L32" s="319"/>
    </row>
    <row r="33" spans="3:12" s="318" customFormat="1" ht="12.75">
      <c r="C33" s="319" t="s">
        <v>15</v>
      </c>
      <c r="D33" s="320">
        <f>'Flux de Numerar'!G67</f>
        <v>2750000</v>
      </c>
      <c r="E33" s="320">
        <f>IF('Flux de Numerar'!G64&lt;0,'Cont de Rezultat'!H73-'Flux de Numerar'!G64-'Flux de Numerar'!G62+'Flux de Numerar'!G63,'Cont de Rezultat'!H73-'Flux de Numerar'!G62+'Flux de Numerar'!G63)</f>
        <v>26711348.95244071</v>
      </c>
      <c r="F33" s="320">
        <f>IF('Flux de Numerar'!G64&gt;0,'Cont de Rezultat'!H72+'Flux de Numerar'!G64,'Cont de Rezultat'!H72)</f>
        <v>33092877.260777116</v>
      </c>
      <c r="G33" s="320">
        <f t="shared" si="0"/>
        <v>3631528.308336407</v>
      </c>
      <c r="H33" s="320"/>
      <c r="I33" s="441">
        <f t="shared" si="2"/>
        <v>0.4986687514078977</v>
      </c>
      <c r="J33" s="320">
        <f t="shared" si="1"/>
        <v>1810929.6872205508</v>
      </c>
      <c r="K33" s="319"/>
      <c r="L33" s="319"/>
    </row>
    <row r="34" spans="3:12" s="318" customFormat="1" ht="12.75">
      <c r="C34" s="319" t="s">
        <v>240</v>
      </c>
      <c r="D34" s="319"/>
      <c r="E34" s="320">
        <f>'Cont de Rezultat'!H66</f>
        <v>25946764.12295262</v>
      </c>
      <c r="F34" s="320">
        <f>'Cont de Rezultat'!H57</f>
        <v>33092877.260777116</v>
      </c>
      <c r="G34" s="320">
        <f t="shared" si="0"/>
        <v>7146113.137824494</v>
      </c>
      <c r="H34" s="320"/>
      <c r="I34" s="441">
        <f t="shared" si="2"/>
        <v>0.41904937093100647</v>
      </c>
      <c r="J34" s="320">
        <f t="shared" si="1"/>
        <v>2994574.215007155</v>
      </c>
      <c r="K34" s="319"/>
      <c r="L34" s="319"/>
    </row>
    <row r="35" spans="3:12" s="318" customFormat="1" ht="12.75">
      <c r="C35" s="319" t="s">
        <v>241</v>
      </c>
      <c r="D35" s="319"/>
      <c r="E35" s="320">
        <f aca="true" t="shared" si="3" ref="E35:F38">E34</f>
        <v>25946764.12295262</v>
      </c>
      <c r="F35" s="320">
        <f t="shared" si="3"/>
        <v>33092877.260777116</v>
      </c>
      <c r="G35" s="320">
        <f t="shared" si="0"/>
        <v>7146113.137824494</v>
      </c>
      <c r="H35" s="320"/>
      <c r="I35" s="441">
        <f t="shared" si="2"/>
        <v>0.35214232851345084</v>
      </c>
      <c r="J35" s="320">
        <f t="shared" si="1"/>
        <v>2516448.92017408</v>
      </c>
      <c r="K35" s="319"/>
      <c r="L35" s="319"/>
    </row>
    <row r="36" spans="3:12" s="318" customFormat="1" ht="12.75">
      <c r="C36" s="319" t="s">
        <v>242</v>
      </c>
      <c r="D36" s="319"/>
      <c r="E36" s="320">
        <f t="shared" si="3"/>
        <v>25946764.12295262</v>
      </c>
      <c r="F36" s="320">
        <f t="shared" si="3"/>
        <v>33092877.260777116</v>
      </c>
      <c r="G36" s="320">
        <f t="shared" si="0"/>
        <v>7146113.137824494</v>
      </c>
      <c r="H36" s="320"/>
      <c r="I36" s="441">
        <f t="shared" si="2"/>
        <v>0.29591792312054693</v>
      </c>
      <c r="J36" s="320">
        <f t="shared" si="1"/>
        <v>2114662.958129479</v>
      </c>
      <c r="K36" s="319"/>
      <c r="L36" s="319"/>
    </row>
    <row r="37" spans="3:12" s="318" customFormat="1" ht="12.75">
      <c r="C37" s="319" t="s">
        <v>243</v>
      </c>
      <c r="D37" s="319"/>
      <c r="E37" s="320">
        <f t="shared" si="3"/>
        <v>25946764.12295262</v>
      </c>
      <c r="F37" s="320">
        <f t="shared" si="3"/>
        <v>33092877.260777116</v>
      </c>
      <c r="G37" s="320">
        <f t="shared" si="0"/>
        <v>7146113.137824494</v>
      </c>
      <c r="H37" s="320"/>
      <c r="I37" s="441">
        <f t="shared" si="2"/>
        <v>0.2486705236307117</v>
      </c>
      <c r="J37" s="320">
        <f t="shared" si="1"/>
        <v>1777027.6959071252</v>
      </c>
      <c r="K37" s="319"/>
      <c r="L37" s="319"/>
    </row>
    <row r="38" spans="3:12" s="318" customFormat="1" ht="12.75">
      <c r="C38" s="319" t="s">
        <v>244</v>
      </c>
      <c r="D38" s="319"/>
      <c r="E38" s="320">
        <f t="shared" si="3"/>
        <v>25946764.12295262</v>
      </c>
      <c r="F38" s="320">
        <f t="shared" si="3"/>
        <v>33092877.260777116</v>
      </c>
      <c r="G38" s="320">
        <f t="shared" si="0"/>
        <v>7146113.137824494</v>
      </c>
      <c r="H38" s="320"/>
      <c r="I38" s="441">
        <f t="shared" si="2"/>
        <v>0.20896682658043</v>
      </c>
      <c r="J38" s="320">
        <f t="shared" si="1"/>
        <v>1493300.5847959036</v>
      </c>
      <c r="K38" s="319"/>
      <c r="L38" s="319"/>
    </row>
    <row r="39" spans="3:12" s="318" customFormat="1" ht="12.75">
      <c r="C39" s="319" t="s">
        <v>245</v>
      </c>
      <c r="D39" s="319"/>
      <c r="E39" s="319"/>
      <c r="F39" s="319"/>
      <c r="G39" s="319"/>
      <c r="H39" s="319">
        <f>IPOTEZE!C206</f>
        <v>8000000</v>
      </c>
      <c r="I39" s="441">
        <f>I38</f>
        <v>0.20896682658043</v>
      </c>
      <c r="J39" s="319">
        <f>I39*H39</f>
        <v>1671734.61264344</v>
      </c>
      <c r="K39" s="319"/>
      <c r="L39" s="319"/>
    </row>
    <row r="40" spans="3:12" s="318" customFormat="1" ht="12.75">
      <c r="C40" s="442" t="s">
        <v>10</v>
      </c>
      <c r="D40" s="374">
        <f>SUM(D29:D39)</f>
        <v>13617000</v>
      </c>
      <c r="E40" s="374">
        <f>SUM(E29:E39)</f>
        <v>254455251.254615</v>
      </c>
      <c r="F40" s="374">
        <f>SUM(F29:F39)</f>
        <v>316972947.32189316</v>
      </c>
      <c r="G40" s="374">
        <f>SUM(G29:G39)</f>
        <v>48900696.06727809</v>
      </c>
      <c r="H40" s="374">
        <f>SUM(H29:H39)</f>
        <v>8000000</v>
      </c>
      <c r="I40" s="374"/>
      <c r="J40" s="443">
        <f>SUM(J29:J39)</f>
        <v>20481969.326050993</v>
      </c>
      <c r="K40" s="319"/>
      <c r="L40" s="319"/>
    </row>
    <row r="41" spans="3:12" s="318" customFormat="1" ht="12.75">
      <c r="C41" s="319"/>
      <c r="D41" s="319"/>
      <c r="E41" s="319"/>
      <c r="F41" s="319"/>
      <c r="G41" s="319"/>
      <c r="H41" s="319"/>
      <c r="I41" s="319"/>
      <c r="J41" s="319"/>
      <c r="K41" s="319"/>
      <c r="L41" s="319"/>
    </row>
    <row r="42" spans="3:12" s="318" customFormat="1" ht="12.75">
      <c r="C42" s="319"/>
      <c r="D42" s="319"/>
      <c r="E42" s="319"/>
      <c r="F42" s="319"/>
      <c r="G42" s="319"/>
      <c r="H42" s="319"/>
      <c r="I42" s="319"/>
      <c r="J42" s="319"/>
      <c r="K42" s="319"/>
      <c r="L42" s="319"/>
    </row>
    <row r="43" spans="3:12" s="318" customFormat="1" ht="12.75">
      <c r="C43" s="319"/>
      <c r="D43" s="319"/>
      <c r="E43" s="319"/>
      <c r="F43" s="319"/>
      <c r="G43" s="319"/>
      <c r="H43" s="319"/>
      <c r="I43" s="319"/>
      <c r="J43" s="319"/>
      <c r="K43" s="319"/>
      <c r="L43" s="319"/>
    </row>
    <row r="44" spans="2:12" s="318" customFormat="1" ht="12.75">
      <c r="B44" s="438" t="s">
        <v>246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</row>
    <row r="45" spans="3:12" s="318" customFormat="1" ht="31.5" customHeight="1">
      <c r="C45" s="439" t="s">
        <v>0</v>
      </c>
      <c r="D45" s="439" t="s">
        <v>234</v>
      </c>
      <c r="E45" s="439" t="s">
        <v>235</v>
      </c>
      <c r="F45" s="439" t="s">
        <v>236</v>
      </c>
      <c r="G45" s="439" t="s">
        <v>237</v>
      </c>
      <c r="H45" s="439" t="s">
        <v>47</v>
      </c>
      <c r="I45" s="440"/>
      <c r="J45" s="372" t="s">
        <v>247</v>
      </c>
      <c r="K45" s="440"/>
      <c r="L45" s="372" t="s">
        <v>247</v>
      </c>
    </row>
    <row r="46" spans="3:12" s="318" customFormat="1" ht="12.75">
      <c r="C46" s="319" t="s">
        <v>7</v>
      </c>
      <c r="D46" s="320">
        <f aca="true" t="shared" si="4" ref="D46:G55">D29</f>
        <v>7567000</v>
      </c>
      <c r="E46" s="320">
        <f t="shared" si="4"/>
        <v>23141151.2138702</v>
      </c>
      <c r="F46" s="320">
        <f t="shared" si="4"/>
        <v>27762992.11072</v>
      </c>
      <c r="G46" s="320">
        <f t="shared" si="4"/>
        <v>-2945159.1031502</v>
      </c>
      <c r="H46" s="319"/>
      <c r="I46" s="319"/>
      <c r="J46" s="319"/>
      <c r="K46" s="319"/>
      <c r="L46" s="319"/>
    </row>
    <row r="47" spans="3:12" s="318" customFormat="1" ht="12.75">
      <c r="C47" s="319" t="s">
        <v>8</v>
      </c>
      <c r="D47" s="320">
        <f t="shared" si="4"/>
        <v>0</v>
      </c>
      <c r="E47" s="320">
        <f t="shared" si="4"/>
        <v>24674156.380068902</v>
      </c>
      <c r="F47" s="320">
        <f t="shared" si="4"/>
        <v>28814754.452934403</v>
      </c>
      <c r="G47" s="320">
        <f t="shared" si="4"/>
        <v>4140598.072865501</v>
      </c>
      <c r="H47" s="319"/>
      <c r="I47" s="319"/>
      <c r="J47" s="319"/>
      <c r="K47" s="319"/>
      <c r="L47" s="319"/>
    </row>
    <row r="48" spans="3:12" s="318" customFormat="1" ht="12.75">
      <c r="C48" s="319" t="s">
        <v>12</v>
      </c>
      <c r="D48" s="320">
        <f t="shared" si="4"/>
        <v>0</v>
      </c>
      <c r="E48" s="320">
        <f t="shared" si="4"/>
        <v>24464131.192559548</v>
      </c>
      <c r="F48" s="320">
        <f t="shared" si="4"/>
        <v>29945249.66699309</v>
      </c>
      <c r="G48" s="320">
        <f t="shared" si="4"/>
        <v>5481118.474433541</v>
      </c>
      <c r="H48" s="319"/>
      <c r="I48" s="319"/>
      <c r="J48" s="319"/>
      <c r="K48" s="319"/>
      <c r="L48" s="319"/>
    </row>
    <row r="49" spans="3:12" s="318" customFormat="1" ht="12.75">
      <c r="C49" s="319" t="s">
        <v>13</v>
      </c>
      <c r="D49" s="320">
        <f t="shared" si="4"/>
        <v>3300000</v>
      </c>
      <c r="E49" s="320">
        <f t="shared" si="4"/>
        <v>25730642.90091258</v>
      </c>
      <c r="F49" s="320">
        <f t="shared" si="4"/>
        <v>31892687.526582953</v>
      </c>
      <c r="G49" s="320">
        <f t="shared" si="4"/>
        <v>2862044.6256703734</v>
      </c>
      <c r="H49" s="319"/>
      <c r="I49" s="319"/>
      <c r="J49" s="319"/>
      <c r="K49" s="319"/>
      <c r="L49" s="319"/>
    </row>
    <row r="50" spans="3:12" s="318" customFormat="1" ht="12.75">
      <c r="C50" s="319" t="s">
        <v>15</v>
      </c>
      <c r="D50" s="320">
        <f t="shared" si="4"/>
        <v>2750000</v>
      </c>
      <c r="E50" s="320">
        <f t="shared" si="4"/>
        <v>26711348.95244071</v>
      </c>
      <c r="F50" s="320">
        <f t="shared" si="4"/>
        <v>33092877.260777116</v>
      </c>
      <c r="G50" s="320">
        <f t="shared" si="4"/>
        <v>3631528.308336407</v>
      </c>
      <c r="H50" s="319"/>
      <c r="I50" s="319"/>
      <c r="J50" s="319"/>
      <c r="K50" s="319"/>
      <c r="L50" s="319"/>
    </row>
    <row r="51" spans="3:12" s="318" customFormat="1" ht="12.75">
      <c r="C51" s="319" t="s">
        <v>240</v>
      </c>
      <c r="D51" s="320">
        <f t="shared" si="4"/>
        <v>0</v>
      </c>
      <c r="E51" s="320">
        <f t="shared" si="4"/>
        <v>25946764.12295262</v>
      </c>
      <c r="F51" s="320">
        <f t="shared" si="4"/>
        <v>33092877.260777116</v>
      </c>
      <c r="G51" s="320">
        <f t="shared" si="4"/>
        <v>7146113.137824494</v>
      </c>
      <c r="H51" s="319"/>
      <c r="I51" s="319"/>
      <c r="J51" s="319"/>
      <c r="K51" s="319"/>
      <c r="L51" s="319"/>
    </row>
    <row r="52" spans="3:12" s="318" customFormat="1" ht="12.75">
      <c r="C52" s="319" t="s">
        <v>241</v>
      </c>
      <c r="D52" s="320">
        <f t="shared" si="4"/>
        <v>0</v>
      </c>
      <c r="E52" s="320">
        <f t="shared" si="4"/>
        <v>25946764.12295262</v>
      </c>
      <c r="F52" s="320">
        <f t="shared" si="4"/>
        <v>33092877.260777116</v>
      </c>
      <c r="G52" s="320">
        <f t="shared" si="4"/>
        <v>7146113.137824494</v>
      </c>
      <c r="H52" s="319"/>
      <c r="I52" s="319"/>
      <c r="J52" s="319"/>
      <c r="K52" s="319"/>
      <c r="L52" s="319"/>
    </row>
    <row r="53" spans="3:12" s="318" customFormat="1" ht="12.75">
      <c r="C53" s="319" t="s">
        <v>242</v>
      </c>
      <c r="D53" s="320">
        <f t="shared" si="4"/>
        <v>0</v>
      </c>
      <c r="E53" s="320">
        <f t="shared" si="4"/>
        <v>25946764.12295262</v>
      </c>
      <c r="F53" s="320">
        <f t="shared" si="4"/>
        <v>33092877.260777116</v>
      </c>
      <c r="G53" s="320">
        <f t="shared" si="4"/>
        <v>7146113.137824494</v>
      </c>
      <c r="H53" s="319"/>
      <c r="I53" s="319"/>
      <c r="J53" s="319"/>
      <c r="K53" s="319"/>
      <c r="L53" s="319"/>
    </row>
    <row r="54" spans="3:12" s="318" customFormat="1" ht="12.75">
      <c r="C54" s="319" t="s">
        <v>243</v>
      </c>
      <c r="D54" s="320">
        <f t="shared" si="4"/>
        <v>0</v>
      </c>
      <c r="E54" s="320">
        <f t="shared" si="4"/>
        <v>25946764.12295262</v>
      </c>
      <c r="F54" s="320">
        <f t="shared" si="4"/>
        <v>33092877.260777116</v>
      </c>
      <c r="G54" s="320">
        <f t="shared" si="4"/>
        <v>7146113.137824494</v>
      </c>
      <c r="H54" s="319"/>
      <c r="I54" s="319"/>
      <c r="J54" s="319"/>
      <c r="K54" s="319"/>
      <c r="L54" s="319"/>
    </row>
    <row r="55" spans="3:12" s="318" customFormat="1" ht="12.75">
      <c r="C55" s="319" t="s">
        <v>244</v>
      </c>
      <c r="D55" s="320">
        <f t="shared" si="4"/>
        <v>0</v>
      </c>
      <c r="E55" s="320">
        <f t="shared" si="4"/>
        <v>25946764.12295262</v>
      </c>
      <c r="F55" s="320">
        <f t="shared" si="4"/>
        <v>33092877.260777116</v>
      </c>
      <c r="G55" s="320">
        <f t="shared" si="4"/>
        <v>7146113.137824494</v>
      </c>
      <c r="H55" s="319"/>
      <c r="I55" s="319"/>
      <c r="J55" s="319"/>
      <c r="K55" s="319"/>
      <c r="L55" s="319"/>
    </row>
    <row r="56" spans="3:12" s="318" customFormat="1" ht="12.75">
      <c r="C56" s="319" t="s">
        <v>245</v>
      </c>
      <c r="D56" s="320"/>
      <c r="E56" s="319"/>
      <c r="F56" s="319"/>
      <c r="G56" s="319">
        <f>H39</f>
        <v>8000000</v>
      </c>
      <c r="H56" s="319">
        <f>H39</f>
        <v>8000000</v>
      </c>
      <c r="I56" s="319"/>
      <c r="J56" s="319"/>
      <c r="K56" s="319"/>
      <c r="L56" s="319"/>
    </row>
    <row r="57" spans="3:12" s="318" customFormat="1" ht="12.75">
      <c r="C57" s="442" t="s">
        <v>10</v>
      </c>
      <c r="D57" s="374">
        <f>SUM(D46:D56)</f>
        <v>13617000</v>
      </c>
      <c r="E57" s="374">
        <f>SUM(E46:E56)</f>
        <v>254455251.254615</v>
      </c>
      <c r="F57" s="374">
        <f>SUM(F46:F56)</f>
        <v>316972947.32189316</v>
      </c>
      <c r="G57" s="374">
        <f>SUM(G46:G56)</f>
        <v>56900696.06727809</v>
      </c>
      <c r="H57" s="374">
        <f>SUM(H46:H56)</f>
        <v>8000000</v>
      </c>
      <c r="I57" s="442"/>
      <c r="J57" s="442"/>
      <c r="K57" s="442"/>
      <c r="L57" s="442"/>
    </row>
    <row r="58" spans="3:13" s="318" customFormat="1" ht="12.75"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444">
        <f>IRR(G46:G56,0.01)</f>
        <v>1.4929335284829741</v>
      </c>
    </row>
    <row r="59" spans="3:13" s="318" customFormat="1" ht="12.75"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445"/>
    </row>
    <row r="60" spans="3:13" s="318" customFormat="1" ht="12.75"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445"/>
    </row>
    <row r="61" spans="3:12" s="318" customFormat="1" ht="12.75">
      <c r="C61" s="319"/>
      <c r="D61" s="319"/>
      <c r="E61" s="319"/>
      <c r="F61" s="319"/>
      <c r="G61" s="319"/>
      <c r="H61" s="319"/>
      <c r="I61" s="319"/>
      <c r="J61" s="319"/>
      <c r="K61" s="319"/>
      <c r="L61" s="319"/>
    </row>
    <row r="62" spans="2:12" s="318" customFormat="1" ht="25.5">
      <c r="B62" s="438" t="s">
        <v>248</v>
      </c>
      <c r="C62" s="439" t="s">
        <v>0</v>
      </c>
      <c r="D62" s="446" t="s">
        <v>249</v>
      </c>
      <c r="E62" s="372" t="s">
        <v>238</v>
      </c>
      <c r="F62" s="446" t="s">
        <v>250</v>
      </c>
      <c r="G62" s="446" t="s">
        <v>251</v>
      </c>
      <c r="H62" s="372" t="s">
        <v>252</v>
      </c>
      <c r="I62" s="319"/>
      <c r="J62" s="319"/>
      <c r="K62" s="319"/>
      <c r="L62" s="319"/>
    </row>
    <row r="63" spans="3:12" s="318" customFormat="1" ht="12.75">
      <c r="C63" s="319" t="s">
        <v>7</v>
      </c>
      <c r="D63" s="320">
        <f>'Flux de Numerar'!C60-'Flux de Numerar'!C76</f>
        <v>4600340.896849801</v>
      </c>
      <c r="E63" s="441">
        <f aca="true" t="shared" si="5" ref="E63:E72">I29</f>
        <v>1</v>
      </c>
      <c r="F63" s="320">
        <f aca="true" t="shared" si="6" ref="F63:F72">E63*D63</f>
        <v>4600340.896849801</v>
      </c>
      <c r="G63" s="319"/>
      <c r="H63" s="447"/>
      <c r="I63" s="319"/>
      <c r="J63" s="319"/>
      <c r="K63" s="319"/>
      <c r="L63" s="319"/>
    </row>
    <row r="64" spans="3:12" s="318" customFormat="1" ht="12.75">
      <c r="C64" s="319" t="s">
        <v>8</v>
      </c>
      <c r="D64" s="320">
        <f>'Flux de Numerar'!D60-'Flux de Numerar'!D76</f>
        <v>4130598.072865499</v>
      </c>
      <c r="E64" s="441">
        <f t="shared" si="5"/>
        <v>0.8403361344537815</v>
      </c>
      <c r="F64" s="320">
        <f t="shared" si="6"/>
        <v>3471090.817534033</v>
      </c>
      <c r="G64" s="319"/>
      <c r="H64" s="447"/>
      <c r="I64" s="319"/>
      <c r="J64" s="319"/>
      <c r="K64" s="319"/>
      <c r="L64" s="319"/>
    </row>
    <row r="65" spans="3:12" s="318" customFormat="1" ht="12.75">
      <c r="C65" s="319" t="s">
        <v>12</v>
      </c>
      <c r="D65" s="320">
        <f>'Flux de Numerar'!E60-'Flux de Numerar'!E76</f>
        <v>5451118.47443354</v>
      </c>
      <c r="E65" s="441">
        <f t="shared" si="5"/>
        <v>0.706164818868724</v>
      </c>
      <c r="F65" s="320">
        <f t="shared" si="6"/>
        <v>3849388.090130316</v>
      </c>
      <c r="G65" s="319"/>
      <c r="H65" s="447"/>
      <c r="I65" s="319"/>
      <c r="J65" s="319"/>
      <c r="K65" s="319"/>
      <c r="L65" s="319"/>
    </row>
    <row r="66" spans="3:12" s="318" customFormat="1" ht="12.75">
      <c r="C66" s="319" t="s">
        <v>13</v>
      </c>
      <c r="D66" s="320">
        <f>'Flux de Numerar'!F60-'Flux de Numerar'!F76</f>
        <v>6112044.6256703725</v>
      </c>
      <c r="E66" s="441">
        <f t="shared" si="5"/>
        <v>0.5934158141753982</v>
      </c>
      <c r="F66" s="320">
        <f t="shared" si="6"/>
        <v>3626983.9378185514</v>
      </c>
      <c r="G66" s="319"/>
      <c r="H66" s="447"/>
      <c r="I66" s="319"/>
      <c r="J66" s="319"/>
      <c r="K66" s="319"/>
      <c r="L66" s="319"/>
    </row>
    <row r="67" spans="3:12" s="318" customFormat="1" ht="12.75">
      <c r="C67" s="319" t="s">
        <v>15</v>
      </c>
      <c r="D67" s="320">
        <f>'Flux de Numerar'!G60-'Flux de Numerar'!G76</f>
        <v>6381528.308336405</v>
      </c>
      <c r="E67" s="441">
        <f t="shared" si="5"/>
        <v>0.4986687514078977</v>
      </c>
      <c r="F67" s="320">
        <f t="shared" si="6"/>
        <v>3182268.7535922686</v>
      </c>
      <c r="G67" s="320">
        <f>AVERAGE(F63:F72)</f>
        <v>2846028.8465746185</v>
      </c>
      <c r="H67" s="448">
        <f>'Flux de Numerar'!O15/G67</f>
        <v>2.6587924465724857</v>
      </c>
      <c r="I67" s="319"/>
      <c r="J67" s="319"/>
      <c r="K67" s="319"/>
      <c r="L67" s="319"/>
    </row>
    <row r="68" spans="3:12" s="318" customFormat="1" ht="12.75">
      <c r="C68" s="319" t="s">
        <v>240</v>
      </c>
      <c r="D68" s="320">
        <f>'Flux de Numerar'!G60</f>
        <v>6381528.308336405</v>
      </c>
      <c r="E68" s="441">
        <f t="shared" si="5"/>
        <v>0.41904937093100647</v>
      </c>
      <c r="F68" s="320">
        <f t="shared" si="6"/>
        <v>2674175.4231867804</v>
      </c>
      <c r="G68" s="319"/>
      <c r="H68" s="447"/>
      <c r="I68" s="319"/>
      <c r="J68" s="319"/>
      <c r="K68" s="319"/>
      <c r="L68" s="319"/>
    </row>
    <row r="69" spans="3:12" s="318" customFormat="1" ht="12.75">
      <c r="C69" s="319" t="s">
        <v>241</v>
      </c>
      <c r="D69" s="320">
        <f>D68</f>
        <v>6381528.308336405</v>
      </c>
      <c r="E69" s="441">
        <f t="shared" si="5"/>
        <v>0.35214232851345084</v>
      </c>
      <c r="F69" s="320">
        <f t="shared" si="6"/>
        <v>2247206.2379720844</v>
      </c>
      <c r="G69" s="319"/>
      <c r="H69" s="447"/>
      <c r="I69" s="319"/>
      <c r="J69" s="319"/>
      <c r="K69" s="319"/>
      <c r="L69" s="319"/>
    </row>
    <row r="70" spans="3:12" s="318" customFormat="1" ht="12.75">
      <c r="C70" s="319" t="s">
        <v>242</v>
      </c>
      <c r="D70" s="320">
        <f>D69</f>
        <v>6381528.308336405</v>
      </c>
      <c r="E70" s="441">
        <f t="shared" si="5"/>
        <v>0.29591792312054693</v>
      </c>
      <c r="F70" s="320">
        <f t="shared" si="6"/>
        <v>1888408.6033378863</v>
      </c>
      <c r="G70" s="319"/>
      <c r="H70" s="447"/>
      <c r="I70" s="319"/>
      <c r="J70" s="319"/>
      <c r="K70" s="319"/>
      <c r="L70" s="319"/>
    </row>
    <row r="71" spans="3:12" s="318" customFormat="1" ht="12.75">
      <c r="C71" s="319" t="s">
        <v>243</v>
      </c>
      <c r="D71" s="320">
        <f>D70</f>
        <v>6381528.308336405</v>
      </c>
      <c r="E71" s="441">
        <f t="shared" si="5"/>
        <v>0.2486705236307117</v>
      </c>
      <c r="F71" s="320">
        <f t="shared" si="6"/>
        <v>1586897.9859982238</v>
      </c>
      <c r="G71" s="319"/>
      <c r="H71" s="447"/>
      <c r="I71" s="319"/>
      <c r="J71" s="319"/>
      <c r="K71" s="319"/>
      <c r="L71" s="319"/>
    </row>
    <row r="72" spans="3:12" s="318" customFormat="1" ht="12.75">
      <c r="C72" s="319" t="s">
        <v>244</v>
      </c>
      <c r="D72" s="320">
        <f>D71</f>
        <v>6381528.308336405</v>
      </c>
      <c r="E72" s="441">
        <f t="shared" si="5"/>
        <v>0.20896682658043</v>
      </c>
      <c r="F72" s="320">
        <f t="shared" si="6"/>
        <v>1333527.7193262384</v>
      </c>
      <c r="G72" s="319"/>
      <c r="H72" s="447"/>
      <c r="I72" s="319"/>
      <c r="J72" s="319"/>
      <c r="K72" s="319"/>
      <c r="L72" s="319"/>
    </row>
    <row r="73" s="318" customFormat="1" ht="12.75"/>
    <row r="74" s="318" customFormat="1" ht="12.75"/>
    <row r="75" s="318" customFormat="1" ht="12.75"/>
    <row r="76" s="318" customFormat="1" ht="12.75"/>
  </sheetData>
  <sheetProtection password="CD2C" sheet="1" objects="1" scenarios="1"/>
  <conditionalFormatting sqref="C6">
    <cfRule type="cellIs" priority="1" dxfId="0" operator="lessThan" stopIfTrue="1">
      <formula>0</formula>
    </cfRule>
  </conditionalFormatting>
  <conditionalFormatting sqref="C9">
    <cfRule type="cellIs" priority="2" dxfId="0" operator="lessThan" stopIfTrue="1">
      <formula>$G$7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525:G532"/>
  <sheetViews>
    <sheetView zoomScalePageLayoutView="0" workbookViewId="0" topLeftCell="A546">
      <selection activeCell="A1" sqref="A1"/>
    </sheetView>
  </sheetViews>
  <sheetFormatPr defaultColWidth="9.140625" defaultRowHeight="12.75"/>
  <cols>
    <col min="1" max="1" width="9.140625" style="3" customWidth="1"/>
    <col min="2" max="2" width="11.7109375" style="3" bestFit="1" customWidth="1"/>
    <col min="3" max="3" width="9.7109375" style="3" bestFit="1" customWidth="1"/>
    <col min="4" max="4" width="10.140625" style="3" bestFit="1" customWidth="1"/>
    <col min="5" max="16384" width="9.140625" style="3" customWidth="1"/>
  </cols>
  <sheetData>
    <row r="3" ht="12.75"/>
    <row r="4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7" ht="12.75"/>
    <row r="18" ht="12.75"/>
    <row r="19" ht="12.75"/>
    <row r="20" ht="12.75"/>
    <row r="23" ht="12.75"/>
    <row r="24" ht="12.75"/>
    <row r="69" ht="12.75"/>
    <row r="70" ht="12.75"/>
    <row r="142" ht="12.75"/>
    <row r="143" ht="12.75"/>
    <row r="211" ht="12.75"/>
    <row r="212" ht="12.75"/>
    <row r="287" ht="12.75"/>
    <row r="288" ht="12.75"/>
    <row r="357" ht="12.75"/>
    <row r="358" ht="12.75"/>
    <row r="359" ht="12.75"/>
    <row r="429" ht="12.75"/>
    <row r="430" ht="12.75"/>
    <row r="503" ht="12.75"/>
    <row r="504" ht="12.75"/>
    <row r="525" spans="1:7" s="354" customFormat="1" ht="12.75">
      <c r="A525" s="362"/>
      <c r="B525" s="362"/>
      <c r="C525" s="362"/>
      <c r="D525" s="362"/>
      <c r="E525" s="362"/>
      <c r="F525" s="362"/>
      <c r="G525" s="362"/>
    </row>
    <row r="526" spans="1:7" s="354" customFormat="1" ht="12.75">
      <c r="A526" s="362"/>
      <c r="B526" s="362" t="str">
        <f>'Cont de Rezultat'!D51</f>
        <v>N</v>
      </c>
      <c r="C526" s="362" t="str">
        <f>'Cont de Rezultat'!E51</f>
        <v>N+1</v>
      </c>
      <c r="D526" s="362" t="str">
        <f>'Cont de Rezultat'!F51</f>
        <v>N+2</v>
      </c>
      <c r="E526" s="362" t="str">
        <f>'Cont de Rezultat'!G51</f>
        <v>N+3</v>
      </c>
      <c r="F526" s="362" t="str">
        <f>'Cont de Rezultat'!H51</f>
        <v>N+4</v>
      </c>
      <c r="G526" s="362"/>
    </row>
    <row r="527" spans="1:7" s="354" customFormat="1" ht="12.75">
      <c r="A527" s="362"/>
      <c r="B527" s="449">
        <f>'Cont de Rezultat'!D76</f>
        <v>4662154.437382401</v>
      </c>
      <c r="C527" s="449">
        <f>'Cont de Rezultat'!E76</f>
        <v>4446010.41861245</v>
      </c>
      <c r="D527" s="449">
        <f>'Cont de Rezultat'!F76</f>
        <v>5097566.113392096</v>
      </c>
      <c r="E527" s="449">
        <f>'Cont de Rezultat'!G76</f>
        <v>5754530.286233589</v>
      </c>
      <c r="F527" s="449">
        <f>'Cont de Rezultat'!H76</f>
        <v>6002735.035772575</v>
      </c>
      <c r="G527" s="362"/>
    </row>
    <row r="528" spans="1:7" s="354" customFormat="1" ht="12.75">
      <c r="A528" s="362"/>
      <c r="B528" s="449">
        <f>'Flux de Numerar'!C60</f>
        <v>5728465.896849801</v>
      </c>
      <c r="C528" s="449">
        <f>'Flux de Numerar'!D60</f>
        <v>4825848.072865499</v>
      </c>
      <c r="D528" s="449">
        <f>'Flux de Numerar'!E60</f>
        <v>5719868.47443354</v>
      </c>
      <c r="E528" s="449">
        <f>'Flux de Numerar'!F60</f>
        <v>6124044.6256703725</v>
      </c>
      <c r="F528" s="449">
        <f>'Flux de Numerar'!G60</f>
        <v>6381528.308336405</v>
      </c>
      <c r="G528" s="362"/>
    </row>
    <row r="529" spans="1:7" s="354" customFormat="1" ht="12.75">
      <c r="A529" s="362"/>
      <c r="B529" s="449">
        <f>'Flux de Numerar'!C80</f>
        <v>3091840.896849801</v>
      </c>
      <c r="C529" s="449">
        <f>'Flux de Numerar'!D80</f>
        <v>1140598.0728654992</v>
      </c>
      <c r="D529" s="449">
        <f>'Flux de Numerar'!E80</f>
        <v>2231118.4744335404</v>
      </c>
      <c r="E529" s="449">
        <f>'Flux de Numerar'!F80</f>
        <v>2862044.6256703725</v>
      </c>
      <c r="F529" s="449">
        <f>'Flux de Numerar'!G80</f>
        <v>3631528.308336405</v>
      </c>
      <c r="G529" s="362"/>
    </row>
    <row r="530" spans="1:7" s="354" customFormat="1" ht="12.75">
      <c r="A530" s="362"/>
      <c r="B530" s="362"/>
      <c r="C530" s="362"/>
      <c r="D530" s="362"/>
      <c r="E530" s="362"/>
      <c r="F530" s="362"/>
      <c r="G530" s="362"/>
    </row>
    <row r="531" spans="1:7" ht="12.75">
      <c r="A531" s="362"/>
      <c r="B531" s="362"/>
      <c r="C531" s="362"/>
      <c r="D531" s="362"/>
      <c r="E531" s="362"/>
      <c r="F531" s="362"/>
      <c r="G531" s="362"/>
    </row>
    <row r="532" spans="1:7" ht="12.75">
      <c r="A532" s="362"/>
      <c r="B532" s="362"/>
      <c r="C532" s="362"/>
      <c r="D532" s="362"/>
      <c r="E532" s="362"/>
      <c r="F532" s="362"/>
      <c r="G532" s="362"/>
    </row>
    <row r="578" ht="12.75"/>
  </sheetData>
  <sheetProtection password="CD2C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Exemplu</dc:title>
  <dc:subject/>
  <dc:creator>Liviu Ciucan-Rusu</dc:creator>
  <cp:keywords/>
  <dc:description/>
  <cp:lastModifiedBy>Liviu Ciucan-Rusu</cp:lastModifiedBy>
  <cp:lastPrinted>2002-06-28T14:24:34Z</cp:lastPrinted>
  <dcterms:created xsi:type="dcterms:W3CDTF">2002-01-23T12:15:51Z</dcterms:created>
  <dcterms:modified xsi:type="dcterms:W3CDTF">2010-05-07T06:54:15Z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